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2"/>
  </bookViews>
  <sheets>
    <sheet name="Ani Ini." sheetId="1" r:id="rId1"/>
    <sheet name="S.Paul" sheetId="2" r:id="rId2"/>
    <sheet name="Prime" sheetId="3" r:id="rId3"/>
    <sheet name="Malabar" sheetId="4" r:id="rId4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1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AS the transactions have started from 11 Dec., a period of 3 months have been considered
</t>
        </r>
      </text>
    </comment>
    <comment ref="C3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AS the transactions have started from 11 Dec., a period of 3 months have been considered
</t>
        </r>
      </text>
    </comment>
    <comment ref="C4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AS the transactions have started from 11 Dec., a period of 3 months have been considered
</t>
        </r>
      </text>
    </comment>
    <comment ref="C6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AS the transactions have started from 11 Dec., a period of 3 months have been considered
</t>
        </r>
      </text>
    </comment>
  </commentList>
</comments>
</file>

<file path=xl/comments3.xml><?xml version="1.0" encoding="utf-8"?>
<comments xmlns="http://schemas.openxmlformats.org/spreadsheetml/2006/main">
  <authors>
    <author>pro</author>
  </authors>
  <commentList>
    <comment ref="C23" authorId="0">
      <text>
        <r>
          <rPr>
            <b/>
            <sz val="8"/>
            <rFont val="Tahoma"/>
            <family val="0"/>
          </rPr>
          <t>pro:</t>
        </r>
        <r>
          <rPr>
            <sz val="8"/>
            <rFont val="Tahoma"/>
            <family val="0"/>
          </rPr>
          <t xml:space="preserve">
(Opening Receivables Balance + Sales - Closing Receivables Balance)</t>
        </r>
      </text>
    </comment>
    <comment ref="E23" authorId="0">
      <text>
        <r>
          <rPr>
            <b/>
            <sz val="8"/>
            <rFont val="Tahoma"/>
            <family val="0"/>
          </rPr>
          <t>pro:</t>
        </r>
        <r>
          <rPr>
            <sz val="8"/>
            <rFont val="Tahoma"/>
            <family val="0"/>
          </rPr>
          <t xml:space="preserve">
(Opening Payables Balance + Purchases - Closing Payables Balance)</t>
        </r>
      </text>
    </comment>
    <comment ref="I23" authorId="0">
      <text>
        <r>
          <rPr>
            <b/>
            <sz val="8"/>
            <rFont val="Tahoma"/>
            <family val="0"/>
          </rPr>
          <t>pro:</t>
        </r>
        <r>
          <rPr>
            <sz val="8"/>
            <rFont val="Tahoma"/>
            <family val="0"/>
          </rPr>
          <t xml:space="preserve">
Taken from the cash balance</t>
        </r>
      </text>
    </comment>
    <comment ref="K23" authorId="0">
      <text>
        <r>
          <rPr>
            <b/>
            <sz val="8"/>
            <rFont val="Tahoma"/>
            <family val="0"/>
          </rPr>
          <t>pro:</t>
        </r>
        <r>
          <rPr>
            <sz val="8"/>
            <rFont val="Tahoma"/>
            <family val="0"/>
          </rPr>
          <t xml:space="preserve">
Taken as 10% of the Purchases i.e., 6484.5</t>
        </r>
      </text>
    </comment>
    <comment ref="I24" authorId="0">
      <text>
        <r>
          <rPr>
            <b/>
            <sz val="8"/>
            <rFont val="Tahoma"/>
            <family val="0"/>
          </rPr>
          <t>pro:</t>
        </r>
        <r>
          <rPr>
            <sz val="8"/>
            <rFont val="Tahoma"/>
            <family val="0"/>
          </rPr>
          <t xml:space="preserve">
Taken as one months Sales</t>
        </r>
      </text>
    </comment>
    <comment ref="E27" authorId="0">
      <text>
        <r>
          <rPr>
            <b/>
            <sz val="8"/>
            <rFont val="Tahoma"/>
            <family val="0"/>
          </rPr>
          <t>pro:</t>
        </r>
        <r>
          <rPr>
            <sz val="8"/>
            <rFont val="Tahoma"/>
            <family val="0"/>
          </rPr>
          <t xml:space="preserve">
Assumed to be cleared due to excess cash</t>
        </r>
      </text>
    </comment>
    <comment ref="I27" authorId="0">
      <text>
        <r>
          <rPr>
            <b/>
            <sz val="8"/>
            <rFont val="Tahoma"/>
            <family val="0"/>
          </rPr>
          <t>pro:</t>
        </r>
        <r>
          <rPr>
            <sz val="8"/>
            <rFont val="Tahoma"/>
            <family val="0"/>
          </rPr>
          <t xml:space="preserve">
Assumed to have been not expired</t>
        </r>
      </text>
    </comment>
  </commentList>
</comments>
</file>

<file path=xl/sharedStrings.xml><?xml version="1.0" encoding="utf-8"?>
<sst xmlns="http://schemas.openxmlformats.org/spreadsheetml/2006/main" count="262" uniqueCount="148">
  <si>
    <t>Land</t>
  </si>
  <si>
    <t>Building</t>
  </si>
  <si>
    <t>Less: Accumulated Depreciation</t>
  </si>
  <si>
    <t>Inventory</t>
  </si>
  <si>
    <t>Current Assets</t>
  </si>
  <si>
    <t xml:space="preserve">Amount </t>
  </si>
  <si>
    <t>Current Liabilities</t>
  </si>
  <si>
    <t>Amount</t>
  </si>
  <si>
    <t>Total Assets</t>
  </si>
  <si>
    <t>Total Liabilities &amp; Owners Equity</t>
  </si>
  <si>
    <t>Cash &amp; Bank Balance</t>
  </si>
  <si>
    <t xml:space="preserve">Cash </t>
  </si>
  <si>
    <t>Accounts Receivable</t>
  </si>
  <si>
    <t>Assets</t>
  </si>
  <si>
    <t>Liabilities and Owners Equity</t>
  </si>
  <si>
    <t>Accounts Payable</t>
  </si>
  <si>
    <t>Notes Payable</t>
  </si>
  <si>
    <t>Accrued Interest</t>
  </si>
  <si>
    <t>Operating Expenses Payable</t>
  </si>
  <si>
    <t>S. Paul, Capital</t>
  </si>
  <si>
    <t>Cash Transactions</t>
  </si>
  <si>
    <t xml:space="preserve">Previous Balance </t>
  </si>
  <si>
    <t>Add</t>
  </si>
  <si>
    <t>Cash Sales</t>
  </si>
  <si>
    <t>Cash on Accounts Receivable</t>
  </si>
  <si>
    <t>We Know:</t>
  </si>
  <si>
    <t>Begin Inventory + Purchases = Ending Inventory + CoG Sold</t>
  </si>
  <si>
    <t>Ending Inventory</t>
  </si>
  <si>
    <t>Income Statement for the first quarter</t>
  </si>
  <si>
    <t>S Paul</t>
  </si>
  <si>
    <t>Balance Sheet as at March 31, 20X1</t>
  </si>
  <si>
    <t>Sales</t>
  </si>
  <si>
    <t>Less: Cost of Goods Sold</t>
  </si>
  <si>
    <t>Gross Profit</t>
  </si>
  <si>
    <t>remarks</t>
  </si>
  <si>
    <t>provided</t>
  </si>
  <si>
    <t>Begin Payables + Purchases on Credit = Ending Payables + Cash Paid</t>
  </si>
  <si>
    <t>Supplier Payments</t>
  </si>
  <si>
    <t>Withdrawal</t>
  </si>
  <si>
    <t>Down Payment Showroom</t>
  </si>
  <si>
    <t>Down Payment Cash Register</t>
  </si>
  <si>
    <t>Repayment of Note</t>
  </si>
  <si>
    <t>Interest Paid</t>
  </si>
  <si>
    <t>Payament for Wages/Operatng</t>
  </si>
  <si>
    <t>Similarly</t>
  </si>
  <si>
    <t>Less: Operatng Expenses</t>
  </si>
  <si>
    <t>Operating Profit</t>
  </si>
  <si>
    <t>Less: Interest Expense</t>
  </si>
  <si>
    <t>assuming zero receivables balance</t>
  </si>
  <si>
    <t>Profit</t>
  </si>
  <si>
    <t>less withdrawal</t>
  </si>
  <si>
    <t>Balance carried to Balance Sheet</t>
  </si>
  <si>
    <t>Balance Sheet as at June 30, 20X1</t>
  </si>
  <si>
    <t>Cash Balance</t>
  </si>
  <si>
    <t>Cash Register</t>
  </si>
  <si>
    <t>Showroom</t>
  </si>
  <si>
    <t>New Owners Equity Balance</t>
  </si>
  <si>
    <t>Balances on June 30</t>
  </si>
  <si>
    <t>Interest Accrued (assumed for showroom credit)</t>
  </si>
  <si>
    <t>Register &amp; Showroom Credit</t>
  </si>
  <si>
    <t>Prepaid rent and insurance</t>
  </si>
  <si>
    <t>Goodwill</t>
  </si>
  <si>
    <t>Share Premium</t>
  </si>
  <si>
    <t>Retained Earnings</t>
  </si>
  <si>
    <t>Malabar Constructions</t>
  </si>
  <si>
    <t>All figures in Rs 000s</t>
  </si>
  <si>
    <t>Steel consumed</t>
  </si>
  <si>
    <t>Cement consumed</t>
  </si>
  <si>
    <t>Supplies consumed</t>
  </si>
  <si>
    <t>Raw Material Consumed</t>
  </si>
  <si>
    <t>Less: Expenses</t>
  </si>
  <si>
    <t>Labour Charges</t>
  </si>
  <si>
    <t>Rent Expenses</t>
  </si>
  <si>
    <t>Insurance Expenses</t>
  </si>
  <si>
    <t>Sub-contract payments and Related Expenses</t>
  </si>
  <si>
    <t>Profit for the Period</t>
  </si>
  <si>
    <t>Note</t>
  </si>
  <si>
    <t>We assume that Malabar Constructions started and completed only one project during the quarter i.e., the building worth Rs 2,48,56,000. The company was not handling any other projects during the quarter.</t>
  </si>
  <si>
    <t>Subtract</t>
  </si>
  <si>
    <t>Prime Rubber Industries</t>
  </si>
  <si>
    <t>RM Inventory</t>
  </si>
  <si>
    <t>FG Inventory</t>
  </si>
  <si>
    <t>Plant and Equipment</t>
  </si>
  <si>
    <t>Bank Overdraft</t>
  </si>
  <si>
    <t>Share Capital</t>
  </si>
  <si>
    <t>Owner(s) Equity</t>
  </si>
  <si>
    <t>Profit Before Tax</t>
  </si>
  <si>
    <t>Profit After Tax</t>
  </si>
  <si>
    <t>Owners Equty</t>
  </si>
  <si>
    <t>Equipment Credit</t>
  </si>
  <si>
    <t>Equipment installment</t>
  </si>
  <si>
    <t>Mortgage Loan (+ Accrued Interest)</t>
  </si>
  <si>
    <t>Suppliers Payments</t>
  </si>
  <si>
    <t>Wage Exp</t>
  </si>
  <si>
    <t>Other Direct Exp</t>
  </si>
  <si>
    <t>Tax Exp</t>
  </si>
  <si>
    <t>Items</t>
  </si>
  <si>
    <t>Amount (in Rs)</t>
  </si>
  <si>
    <t>Revenues</t>
  </si>
  <si>
    <t>Expenditure</t>
  </si>
  <si>
    <t>Travelling Exp.</t>
  </si>
  <si>
    <t>Salary Exp.</t>
  </si>
  <si>
    <t>Internet Expenses</t>
  </si>
  <si>
    <t>Training Expenses</t>
  </si>
  <si>
    <t>Incentives</t>
  </si>
  <si>
    <t>Depreciation Exp.</t>
  </si>
  <si>
    <t>Internet Installation exp.</t>
  </si>
  <si>
    <t>depreciation @ 60% per annum on computer &amp; accessories</t>
  </si>
  <si>
    <t>Interest</t>
  </si>
  <si>
    <t>considering a 0% interest</t>
  </si>
  <si>
    <t>Tax</t>
  </si>
  <si>
    <t>as loss has 0% tax rate</t>
  </si>
  <si>
    <t>Profit After Tax (PAT)</t>
  </si>
  <si>
    <t>Ani Initiatives</t>
  </si>
  <si>
    <t>Comprehensive Income Statements</t>
  </si>
  <si>
    <t>Income Statement for the month February</t>
  </si>
  <si>
    <t>Income Statement for the month January</t>
  </si>
  <si>
    <t>Income Statement for the month March</t>
  </si>
  <si>
    <t>Tax Provision</t>
  </si>
  <si>
    <t>considering a 30% taxrate on positive income</t>
  </si>
  <si>
    <t>for all 3 months</t>
  </si>
  <si>
    <t>Income Statement for the June Quarter, 2006</t>
  </si>
  <si>
    <t>Balance Sheet as at December 31, 20X1 (all figures in 000's)</t>
  </si>
  <si>
    <t>Projected Income Statement for the period ending December 31, 20X2 (all figures in 000's)</t>
  </si>
  <si>
    <t>Remarks</t>
  </si>
  <si>
    <t>Estimated from Gross Profit (backwards)</t>
  </si>
  <si>
    <t>Less: RM Consumed</t>
  </si>
  <si>
    <t>Given as 30% of Sales</t>
  </si>
  <si>
    <t>Less: Wage Expenses</t>
  </si>
  <si>
    <t>Given as 10% of Sales</t>
  </si>
  <si>
    <t>Less: Other Direct Mfrg Exp</t>
  </si>
  <si>
    <t>Estimated from PBT (backwards)</t>
  </si>
  <si>
    <t>Less: Selling, Administration Expenses</t>
  </si>
  <si>
    <t>Provided in the problem</t>
  </si>
  <si>
    <t>Less: Depreciatioin Expense</t>
  </si>
  <si>
    <t>Details Provided</t>
  </si>
  <si>
    <t>On Mortgage Loan</t>
  </si>
  <si>
    <t>Estmated from PAT</t>
  </si>
  <si>
    <t>Less: Tax</t>
  </si>
  <si>
    <t>Given as 30% of PBT</t>
  </si>
  <si>
    <t>Given in the problem</t>
  </si>
  <si>
    <t>Less: Withdrawal</t>
  </si>
  <si>
    <t>Assumed</t>
  </si>
  <si>
    <t>Retained Earnings Addition</t>
  </si>
  <si>
    <t>Projected Balance Sheet as at December 31, 20X2 (all figures in 000's)</t>
  </si>
  <si>
    <t>Selling &amp; Administration Expense</t>
  </si>
  <si>
    <r>
      <t>Financial Accounting for Management</t>
    </r>
    <r>
      <rPr>
        <b/>
        <sz val="11"/>
        <color indexed="12"/>
        <rFont val="Times New Roman"/>
        <family val="1"/>
      </rPr>
      <t xml:space="preserve"> </t>
    </r>
    <r>
      <rPr>
        <sz val="11"/>
        <color indexed="12"/>
        <rFont val="Times New Roman"/>
        <family val="1"/>
      </rPr>
      <t xml:space="preserve">by Ramachandran &amp; Kakani </t>
    </r>
  </si>
  <si>
    <t>Authored by Ram Kumar Kakani &amp; Tanmoy Chatterjee, “Copyright with McGraw-Hill Education (India) Ltd, 2007"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</si>
</sst>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00000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b/>
      <u val="single"/>
      <sz val="11"/>
      <color indexed="12"/>
      <name val="Batang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1" xfId="0" applyFont="1" applyBorder="1" applyAlignment="1">
      <alignment/>
    </xf>
    <xf numFmtId="49" fontId="7" fillId="0" borderId="0" xfId="0" applyNumberFormat="1" applyFont="1" applyAlignment="1">
      <alignment horizontal="justify" wrapText="1"/>
    </xf>
    <xf numFmtId="49" fontId="0" fillId="0" borderId="0" xfId="0" applyNumberFormat="1" applyAlignment="1">
      <alignment wrapText="1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1" xfId="0" applyFont="1" applyBorder="1" applyAlignment="1">
      <alignment/>
    </xf>
    <xf numFmtId="0" fontId="0" fillId="0" borderId="6" xfId="0" applyBorder="1" applyAlignment="1">
      <alignment/>
    </xf>
    <xf numFmtId="0" fontId="10" fillId="0" borderId="0" xfId="0" applyFont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1" fontId="0" fillId="0" borderId="15" xfId="0" applyNumberFormat="1" applyBorder="1" applyAlignment="1">
      <alignment/>
    </xf>
    <xf numFmtId="1" fontId="2" fillId="0" borderId="15" xfId="0" applyNumberFormat="1" applyFont="1" applyBorder="1" applyAlignment="1">
      <alignment/>
    </xf>
    <xf numFmtId="1" fontId="10" fillId="0" borderId="15" xfId="0" applyNumberFormat="1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5"/>
  <sheetViews>
    <sheetView workbookViewId="0" topLeftCell="A73">
      <selection activeCell="A75" sqref="A75"/>
    </sheetView>
  </sheetViews>
  <sheetFormatPr defaultColWidth="9.140625" defaultRowHeight="12.75"/>
  <cols>
    <col min="1" max="1" width="34.00390625" style="0" customWidth="1"/>
    <col min="2" max="2" width="20.140625" style="0" customWidth="1"/>
    <col min="3" max="3" width="35.140625" style="0" customWidth="1"/>
  </cols>
  <sheetData>
    <row r="1" ht="12.75">
      <c r="A1" s="41" t="s">
        <v>113</v>
      </c>
    </row>
    <row r="2" spans="1:2" ht="12.75">
      <c r="A2" s="1" t="s">
        <v>114</v>
      </c>
      <c r="B2" t="s">
        <v>120</v>
      </c>
    </row>
    <row r="3" spans="1:2" ht="12.75">
      <c r="A3" s="42" t="s">
        <v>96</v>
      </c>
      <c r="B3" s="42" t="s">
        <v>97</v>
      </c>
    </row>
    <row r="4" spans="1:2" ht="12.75">
      <c r="A4" s="43" t="s">
        <v>98</v>
      </c>
      <c r="B4" s="43">
        <f>9500+11400+4000+10600</f>
        <v>35500</v>
      </c>
    </row>
    <row r="5" spans="1:2" ht="12.75">
      <c r="A5" s="43" t="s">
        <v>99</v>
      </c>
      <c r="B5" s="42"/>
    </row>
    <row r="6" spans="1:2" ht="12.75">
      <c r="A6" s="42" t="s">
        <v>100</v>
      </c>
      <c r="B6" s="42">
        <f>1000+1500</f>
        <v>2500</v>
      </c>
    </row>
    <row r="7" spans="1:2" ht="12.75">
      <c r="A7" s="42" t="s">
        <v>101</v>
      </c>
      <c r="B7" s="42">
        <f>1000+1500+1000+2000+1000+2000+2000</f>
        <v>10500</v>
      </c>
    </row>
    <row r="8" spans="1:2" ht="12.75">
      <c r="A8" s="42" t="s">
        <v>104</v>
      </c>
      <c r="B8" s="42">
        <f>5700+2000</f>
        <v>7700</v>
      </c>
    </row>
    <row r="9" spans="1:2" ht="12.75">
      <c r="A9" s="42" t="s">
        <v>102</v>
      </c>
      <c r="B9" s="42">
        <f>850+850+850+850+850+850</f>
        <v>5100</v>
      </c>
    </row>
    <row r="10" spans="1:2" ht="12.75">
      <c r="A10" s="42" t="s">
        <v>106</v>
      </c>
      <c r="B10" s="42">
        <v>1000</v>
      </c>
    </row>
    <row r="11" spans="1:2" ht="12.75">
      <c r="A11" s="42" t="s">
        <v>103</v>
      </c>
      <c r="B11" s="42">
        <f>15000+500</f>
        <v>15500</v>
      </c>
    </row>
    <row r="12" spans="1:3" ht="12.75">
      <c r="A12" s="42" t="s">
        <v>105</v>
      </c>
      <c r="B12" s="44">
        <f>(55110+416+7999+3107)*0.15</f>
        <v>9994.8</v>
      </c>
      <c r="C12" t="s">
        <v>107</v>
      </c>
    </row>
    <row r="13" spans="1:2" ht="12.75">
      <c r="A13" s="42"/>
      <c r="B13" s="45">
        <f>SUM(B6:B12)</f>
        <v>52294.8</v>
      </c>
    </row>
    <row r="14" spans="1:2" ht="12.75">
      <c r="A14" s="43" t="s">
        <v>46</v>
      </c>
      <c r="B14" s="46">
        <f>B4-B13</f>
        <v>-16794.800000000003</v>
      </c>
    </row>
    <row r="15" spans="1:3" ht="12.75">
      <c r="A15" s="42" t="s">
        <v>108</v>
      </c>
      <c r="B15" s="42">
        <v>0</v>
      </c>
      <c r="C15" t="s">
        <v>109</v>
      </c>
    </row>
    <row r="16" spans="1:2" ht="12.75">
      <c r="A16" s="43" t="s">
        <v>86</v>
      </c>
      <c r="B16" s="45">
        <f>B14-B15</f>
        <v>-16794.800000000003</v>
      </c>
    </row>
    <row r="17" spans="1:3" ht="12.75">
      <c r="A17" s="42" t="s">
        <v>110</v>
      </c>
      <c r="B17" s="42">
        <v>0</v>
      </c>
      <c r="C17" t="s">
        <v>111</v>
      </c>
    </row>
    <row r="18" spans="1:2" ht="12.75">
      <c r="A18" s="43" t="s">
        <v>112</v>
      </c>
      <c r="B18" s="45">
        <f>B16-B17</f>
        <v>-16794.800000000003</v>
      </c>
    </row>
    <row r="20" ht="12.75">
      <c r="A20" s="1" t="s">
        <v>116</v>
      </c>
    </row>
    <row r="21" spans="1:2" ht="12.75">
      <c r="A21" s="42" t="s">
        <v>96</v>
      </c>
      <c r="B21" s="42" t="s">
        <v>97</v>
      </c>
    </row>
    <row r="22" spans="1:2" ht="12.75">
      <c r="A22" s="43" t="s">
        <v>98</v>
      </c>
      <c r="B22" s="43">
        <v>0</v>
      </c>
    </row>
    <row r="23" spans="1:2" ht="12.75">
      <c r="A23" s="43" t="s">
        <v>99</v>
      </c>
      <c r="B23" s="42"/>
    </row>
    <row r="24" spans="1:2" ht="12.75">
      <c r="A24" s="42" t="s">
        <v>100</v>
      </c>
      <c r="B24" s="42">
        <f>1000</f>
        <v>1000</v>
      </c>
    </row>
    <row r="25" spans="1:2" ht="12.75">
      <c r="A25" s="42" t="s">
        <v>101</v>
      </c>
      <c r="B25" s="42">
        <f>1000+1500+1000+2000</f>
        <v>5500</v>
      </c>
    </row>
    <row r="26" spans="1:2" ht="12.75">
      <c r="A26" s="42"/>
      <c r="B26" s="42"/>
    </row>
    <row r="27" spans="1:2" ht="12.75">
      <c r="A27" s="42" t="s">
        <v>102</v>
      </c>
      <c r="B27" s="42">
        <f>850+850</f>
        <v>1700</v>
      </c>
    </row>
    <row r="28" spans="1:2" ht="12.75">
      <c r="A28" s="42" t="s">
        <v>106</v>
      </c>
      <c r="B28" s="42">
        <v>1000</v>
      </c>
    </row>
    <row r="29" spans="1:2" ht="12.75">
      <c r="A29" s="42"/>
      <c r="B29" s="42"/>
    </row>
    <row r="30" spans="1:3" ht="12.75">
      <c r="A30" s="42" t="s">
        <v>105</v>
      </c>
      <c r="B30" s="44">
        <f>(55110+416+7999+3107)*0.05</f>
        <v>3331.6000000000004</v>
      </c>
      <c r="C30" t="s">
        <v>107</v>
      </c>
    </row>
    <row r="31" spans="1:2" ht="12.75">
      <c r="A31" s="42"/>
      <c r="B31" s="45">
        <f>SUM(B24:B30)</f>
        <v>12531.6</v>
      </c>
    </row>
    <row r="32" spans="1:2" ht="12.75">
      <c r="A32" s="43" t="s">
        <v>46</v>
      </c>
      <c r="B32" s="46">
        <f>B22-B31</f>
        <v>-12531.6</v>
      </c>
    </row>
    <row r="33" spans="1:2" ht="12.75">
      <c r="A33" s="42" t="s">
        <v>108</v>
      </c>
      <c r="B33" s="42">
        <v>0</v>
      </c>
    </row>
    <row r="34" spans="1:2" ht="12.75">
      <c r="A34" s="43" t="s">
        <v>86</v>
      </c>
      <c r="B34" s="45">
        <f>B32-B33</f>
        <v>-12531.6</v>
      </c>
    </row>
    <row r="35" spans="1:2" ht="12.75">
      <c r="A35" s="42" t="s">
        <v>110</v>
      </c>
      <c r="B35" s="42">
        <v>0</v>
      </c>
    </row>
    <row r="36" spans="1:2" ht="12.75">
      <c r="A36" s="43" t="s">
        <v>112</v>
      </c>
      <c r="B36" s="45">
        <f>B34-B35</f>
        <v>-12531.6</v>
      </c>
    </row>
    <row r="38" spans="1:2" ht="12.75">
      <c r="A38" s="43" t="s">
        <v>115</v>
      </c>
      <c r="B38" s="42"/>
    </row>
    <row r="39" spans="1:2" ht="12.75">
      <c r="A39" s="42" t="s">
        <v>96</v>
      </c>
      <c r="B39" s="42" t="s">
        <v>97</v>
      </c>
    </row>
    <row r="40" spans="1:2" ht="12.75">
      <c r="A40" s="43" t="s">
        <v>98</v>
      </c>
      <c r="B40" s="43">
        <f>9500</f>
        <v>9500</v>
      </c>
    </row>
    <row r="41" spans="1:2" ht="12.75">
      <c r="A41" s="43" t="s">
        <v>99</v>
      </c>
      <c r="B41" s="42"/>
    </row>
    <row r="42" spans="1:2" ht="12.75">
      <c r="A42" s="42" t="s">
        <v>100</v>
      </c>
      <c r="B42" s="42">
        <f>1500</f>
        <v>1500</v>
      </c>
    </row>
    <row r="43" spans="1:2" ht="12.75">
      <c r="A43" s="42" t="s">
        <v>101</v>
      </c>
      <c r="B43" s="42">
        <f>1000+2000</f>
        <v>3000</v>
      </c>
    </row>
    <row r="44" spans="1:2" ht="12.75">
      <c r="A44" s="42"/>
      <c r="B44" s="42"/>
    </row>
    <row r="45" spans="1:2" ht="12.75">
      <c r="A45" s="42" t="s">
        <v>102</v>
      </c>
      <c r="B45" s="42">
        <f>850+850+850</f>
        <v>2550</v>
      </c>
    </row>
    <row r="46" spans="1:2" ht="12.75">
      <c r="A46" s="42"/>
      <c r="B46" s="42"/>
    </row>
    <row r="47" spans="1:2" ht="12.75">
      <c r="A47" s="42" t="s">
        <v>103</v>
      </c>
      <c r="B47" s="42">
        <f>15000+500</f>
        <v>15500</v>
      </c>
    </row>
    <row r="48" spans="1:3" ht="12.75">
      <c r="A48" s="42" t="s">
        <v>105</v>
      </c>
      <c r="B48" s="44">
        <f>(55110+416+7999+3107)*0.05</f>
        <v>3331.6000000000004</v>
      </c>
      <c r="C48" t="s">
        <v>107</v>
      </c>
    </row>
    <row r="49" spans="1:2" ht="12.75">
      <c r="A49" s="42"/>
      <c r="B49" s="45">
        <f>SUM(B42:B48)</f>
        <v>25881.6</v>
      </c>
    </row>
    <row r="50" spans="1:2" ht="12.75">
      <c r="A50" s="43" t="s">
        <v>46</v>
      </c>
      <c r="B50" s="46">
        <f>B40-B49</f>
        <v>-16381.599999999999</v>
      </c>
    </row>
    <row r="51" spans="1:2" ht="12.75">
      <c r="A51" s="42" t="s">
        <v>108</v>
      </c>
      <c r="B51" s="42">
        <v>0</v>
      </c>
    </row>
    <row r="52" spans="1:2" ht="12.75">
      <c r="A52" s="43" t="s">
        <v>86</v>
      </c>
      <c r="B52" s="45">
        <f>B50-B51</f>
        <v>-16381.599999999999</v>
      </c>
    </row>
    <row r="53" spans="1:2" ht="12.75">
      <c r="A53" s="42" t="s">
        <v>110</v>
      </c>
      <c r="B53" s="42">
        <v>0</v>
      </c>
    </row>
    <row r="54" spans="1:2" ht="12.75">
      <c r="A54" s="43" t="s">
        <v>112</v>
      </c>
      <c r="B54" s="45">
        <f>B52-B53</f>
        <v>-16381.599999999999</v>
      </c>
    </row>
    <row r="56" spans="1:2" ht="12.75">
      <c r="A56" s="43" t="s">
        <v>117</v>
      </c>
      <c r="B56" s="42"/>
    </row>
    <row r="57" spans="1:2" ht="12.75">
      <c r="A57" s="42" t="s">
        <v>96</v>
      </c>
      <c r="B57" s="42" t="s">
        <v>97</v>
      </c>
    </row>
    <row r="58" spans="1:2" ht="12.75">
      <c r="A58" s="43" t="s">
        <v>98</v>
      </c>
      <c r="B58" s="43">
        <f>11400+4000+10600</f>
        <v>26000</v>
      </c>
    </row>
    <row r="59" spans="1:2" ht="12.75">
      <c r="A59" s="43" t="s">
        <v>99</v>
      </c>
      <c r="B59" s="42"/>
    </row>
    <row r="60" spans="1:2" ht="12.75">
      <c r="A60" s="42"/>
      <c r="B60" s="42"/>
    </row>
    <row r="61" spans="1:2" ht="12.75">
      <c r="A61" s="42" t="s">
        <v>101</v>
      </c>
      <c r="B61" s="42">
        <f>2000</f>
        <v>2000</v>
      </c>
    </row>
    <row r="62" spans="1:2" ht="12.75">
      <c r="A62" s="42" t="s">
        <v>104</v>
      </c>
      <c r="B62" s="42">
        <f>5700+2000</f>
        <v>7700</v>
      </c>
    </row>
    <row r="63" spans="1:2" ht="12.75">
      <c r="A63" s="42" t="s">
        <v>102</v>
      </c>
      <c r="B63" s="42">
        <f>850</f>
        <v>850</v>
      </c>
    </row>
    <row r="64" spans="1:2" ht="12.75">
      <c r="A64" s="42"/>
      <c r="B64" s="42"/>
    </row>
    <row r="65" spans="1:2" ht="12.75">
      <c r="A65" s="42"/>
      <c r="B65" s="42"/>
    </row>
    <row r="66" spans="1:3" ht="12.75">
      <c r="A66" s="42" t="s">
        <v>105</v>
      </c>
      <c r="B66" s="44">
        <f>(55110+416+7999+3107)*0.05</f>
        <v>3331.6000000000004</v>
      </c>
      <c r="C66" t="s">
        <v>107</v>
      </c>
    </row>
    <row r="67" spans="1:2" ht="12.75">
      <c r="A67" s="42"/>
      <c r="B67" s="45">
        <f>SUM(B60:B66)</f>
        <v>13881.6</v>
      </c>
    </row>
    <row r="68" spans="1:2" ht="12.75">
      <c r="A68" s="43" t="s">
        <v>46</v>
      </c>
      <c r="B68" s="46">
        <f>B58-B67</f>
        <v>12118.4</v>
      </c>
    </row>
    <row r="69" spans="1:2" ht="12.75">
      <c r="A69" s="42" t="s">
        <v>108</v>
      </c>
      <c r="B69" s="42">
        <v>0</v>
      </c>
    </row>
    <row r="70" spans="1:2" ht="12.75">
      <c r="A70" s="43" t="s">
        <v>86</v>
      </c>
      <c r="B70" s="45">
        <f>B68-B69</f>
        <v>12118.4</v>
      </c>
    </row>
    <row r="71" spans="1:3" ht="12.75">
      <c r="A71" s="42" t="s">
        <v>118</v>
      </c>
      <c r="B71" s="44">
        <f>B70*0.3</f>
        <v>3635.52</v>
      </c>
      <c r="C71" t="s">
        <v>119</v>
      </c>
    </row>
    <row r="72" spans="1:2" ht="12.75">
      <c r="A72" s="43" t="s">
        <v>112</v>
      </c>
      <c r="B72" s="45">
        <f>B70-B71</f>
        <v>8482.88</v>
      </c>
    </row>
    <row r="74" ht="15">
      <c r="A74" s="47" t="s">
        <v>146</v>
      </c>
    </row>
    <row r="75" ht="15">
      <c r="A75" s="48" t="s">
        <v>147</v>
      </c>
    </row>
  </sheetData>
  <printOptions/>
  <pageMargins left="0.75" right="0.75" top="1" bottom="1" header="0.5" footer="0.5"/>
  <pageSetup horizontalDpi="1200" verticalDpi="12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34">
      <selection activeCell="A57" sqref="A57"/>
    </sheetView>
  </sheetViews>
  <sheetFormatPr defaultColWidth="9.140625" defaultRowHeight="12.75"/>
  <cols>
    <col min="1" max="1" width="25.7109375" style="0" customWidth="1"/>
    <col min="3" max="3" width="26.28125" style="0" customWidth="1"/>
    <col min="5" max="5" width="5.57421875" style="0" customWidth="1"/>
    <col min="6" max="6" width="20.28125" style="0" customWidth="1"/>
    <col min="7" max="7" width="39.57421875" style="0" customWidth="1"/>
  </cols>
  <sheetData>
    <row r="1" spans="2:7" ht="12.75">
      <c r="B1" s="1" t="s">
        <v>29</v>
      </c>
      <c r="F1" s="2" t="s">
        <v>25</v>
      </c>
      <c r="G1" s="4"/>
    </row>
    <row r="2" spans="2:7" ht="13.5" thickBot="1">
      <c r="B2" s="1" t="s">
        <v>30</v>
      </c>
      <c r="F2" s="9" t="s">
        <v>26</v>
      </c>
      <c r="G2" s="8"/>
    </row>
    <row r="3" spans="1:7" ht="12.75">
      <c r="A3" s="2"/>
      <c r="B3" s="3" t="s">
        <v>5</v>
      </c>
      <c r="C3" s="3"/>
      <c r="D3" s="4" t="s">
        <v>7</v>
      </c>
      <c r="F3" s="9" t="s">
        <v>36</v>
      </c>
      <c r="G3" s="8"/>
    </row>
    <row r="4" spans="1:7" ht="12.75">
      <c r="A4" s="5" t="s">
        <v>13</v>
      </c>
      <c r="B4" s="6"/>
      <c r="C4" s="7" t="s">
        <v>14</v>
      </c>
      <c r="D4" s="8"/>
      <c r="F4" s="12" t="s">
        <v>57</v>
      </c>
      <c r="G4" s="8"/>
    </row>
    <row r="5" spans="1:7" ht="12.75">
      <c r="A5" s="9" t="s">
        <v>11</v>
      </c>
      <c r="B5" s="6">
        <v>32400</v>
      </c>
      <c r="C5" s="9" t="s">
        <v>15</v>
      </c>
      <c r="D5" s="8">
        <v>4680</v>
      </c>
      <c r="F5" s="12" t="s">
        <v>27</v>
      </c>
      <c r="G5" s="11">
        <f>6560+62600-65200</f>
        <v>3960</v>
      </c>
    </row>
    <row r="6" spans="1:7" ht="12.75">
      <c r="A6" s="9" t="s">
        <v>12</v>
      </c>
      <c r="B6" s="6">
        <v>15300</v>
      </c>
      <c r="C6" s="9" t="s">
        <v>16</v>
      </c>
      <c r="D6" s="8">
        <v>600</v>
      </c>
      <c r="F6" s="12" t="s">
        <v>15</v>
      </c>
      <c r="G6" s="11">
        <f>4680+62600-61400</f>
        <v>5880</v>
      </c>
    </row>
    <row r="7" spans="1:7" ht="12.75">
      <c r="A7" s="9" t="s">
        <v>3</v>
      </c>
      <c r="B7" s="6">
        <v>6560</v>
      </c>
      <c r="C7" s="9" t="s">
        <v>17</v>
      </c>
      <c r="D7" s="8">
        <v>440</v>
      </c>
      <c r="F7" s="9" t="s">
        <v>44</v>
      </c>
      <c r="G7" s="8"/>
    </row>
    <row r="8" spans="1:7" ht="12.75">
      <c r="A8" s="9"/>
      <c r="B8" s="6"/>
      <c r="C8" s="9" t="s">
        <v>18</v>
      </c>
      <c r="D8" s="8">
        <v>2480</v>
      </c>
      <c r="F8" s="12" t="s">
        <v>18</v>
      </c>
      <c r="G8" s="11">
        <f>2480+16000-16360</f>
        <v>2120</v>
      </c>
    </row>
    <row r="9" spans="1:7" ht="13.5" thickBot="1">
      <c r="A9" s="9"/>
      <c r="B9" s="6"/>
      <c r="C9" s="9" t="s">
        <v>19</v>
      </c>
      <c r="D9" s="8">
        <v>46060</v>
      </c>
      <c r="F9" s="13" t="s">
        <v>58</v>
      </c>
      <c r="G9" s="15">
        <f>440-440+200</f>
        <v>200</v>
      </c>
    </row>
    <row r="10" spans="1:4" ht="13.5" thickBot="1">
      <c r="A10" s="13" t="s">
        <v>8</v>
      </c>
      <c r="B10" s="14">
        <f>SUM(B5:B9)</f>
        <v>54260</v>
      </c>
      <c r="C10" s="14" t="s">
        <v>9</v>
      </c>
      <c r="D10" s="15">
        <f>SUM(D5:D9)</f>
        <v>54260</v>
      </c>
    </row>
    <row r="11" ht="13.5" thickBot="1"/>
    <row r="12" spans="1:4" ht="12.75">
      <c r="A12" s="2" t="s">
        <v>20</v>
      </c>
      <c r="B12" s="3"/>
      <c r="C12" s="3"/>
      <c r="D12" s="4"/>
    </row>
    <row r="13" spans="1:4" ht="12.75">
      <c r="A13" s="9" t="s">
        <v>21</v>
      </c>
      <c r="B13" s="6">
        <v>32400</v>
      </c>
      <c r="C13" s="6"/>
      <c r="D13" s="8"/>
    </row>
    <row r="14" spans="1:4" ht="12.75">
      <c r="A14" s="9" t="s">
        <v>22</v>
      </c>
      <c r="B14" s="6"/>
      <c r="C14" s="6" t="s">
        <v>78</v>
      </c>
      <c r="D14" s="8"/>
    </row>
    <row r="15" spans="1:4" ht="12.75">
      <c r="A15" s="9" t="s">
        <v>23</v>
      </c>
      <c r="B15" s="6">
        <v>48600</v>
      </c>
      <c r="C15" s="6" t="s">
        <v>37</v>
      </c>
      <c r="D15" s="8">
        <v>61400</v>
      </c>
    </row>
    <row r="16" spans="1:4" ht="12.75">
      <c r="A16" s="9" t="s">
        <v>24</v>
      </c>
      <c r="B16" s="6">
        <v>28500</v>
      </c>
      <c r="C16" s="6" t="s">
        <v>38</v>
      </c>
      <c r="D16" s="8">
        <v>5000</v>
      </c>
    </row>
    <row r="17" spans="1:4" ht="12.75">
      <c r="A17" s="9"/>
      <c r="B17" s="6"/>
      <c r="C17" s="6" t="s">
        <v>39</v>
      </c>
      <c r="D17" s="8">
        <v>12000</v>
      </c>
    </row>
    <row r="18" spans="1:4" ht="12.75">
      <c r="A18" s="9"/>
      <c r="B18" s="6"/>
      <c r="C18" s="6" t="s">
        <v>40</v>
      </c>
      <c r="D18" s="8">
        <v>2000</v>
      </c>
    </row>
    <row r="19" spans="1:4" ht="12.75">
      <c r="A19" s="9"/>
      <c r="B19" s="6"/>
      <c r="C19" s="6" t="s">
        <v>41</v>
      </c>
      <c r="D19" s="8">
        <v>600</v>
      </c>
    </row>
    <row r="20" spans="1:4" ht="12.75">
      <c r="A20" s="9"/>
      <c r="B20" s="6"/>
      <c r="C20" s="6" t="s">
        <v>42</v>
      </c>
      <c r="D20" s="8">
        <v>440</v>
      </c>
    </row>
    <row r="21" spans="1:4" ht="12.75">
      <c r="A21" s="9"/>
      <c r="B21" s="6"/>
      <c r="C21" s="6" t="s">
        <v>43</v>
      </c>
      <c r="D21" s="8">
        <v>16360</v>
      </c>
    </row>
    <row r="22" spans="1:4" ht="13.5" thickBot="1">
      <c r="A22" s="13" t="s">
        <v>53</v>
      </c>
      <c r="B22" s="14">
        <f>SUM(B13:B16)-SUM(D15:D21)</f>
        <v>11700</v>
      </c>
      <c r="C22" s="19"/>
      <c r="D22" s="20"/>
    </row>
    <row r="27" spans="1:3" ht="12.75">
      <c r="A27" s="1" t="s">
        <v>28</v>
      </c>
      <c r="C27" t="s">
        <v>34</v>
      </c>
    </row>
    <row r="28" spans="1:3" ht="12.75">
      <c r="A28" t="s">
        <v>31</v>
      </c>
      <c r="B28">
        <f>48600+28500-15300</f>
        <v>61800</v>
      </c>
      <c r="C28" t="s">
        <v>48</v>
      </c>
    </row>
    <row r="29" spans="1:3" ht="12.75">
      <c r="A29" t="s">
        <v>32</v>
      </c>
      <c r="B29">
        <v>65200</v>
      </c>
      <c r="C29" t="s">
        <v>35</v>
      </c>
    </row>
    <row r="30" spans="1:2" ht="12.75">
      <c r="A30" t="s">
        <v>33</v>
      </c>
      <c r="B30">
        <f>B28-B29</f>
        <v>-3400</v>
      </c>
    </row>
    <row r="31" spans="1:2" ht="12.75">
      <c r="A31" t="s">
        <v>45</v>
      </c>
      <c r="B31">
        <v>16000</v>
      </c>
    </row>
    <row r="32" spans="1:2" ht="12.75">
      <c r="A32" t="s">
        <v>46</v>
      </c>
      <c r="B32">
        <f>B30-B31</f>
        <v>-19400</v>
      </c>
    </row>
    <row r="33" spans="1:2" ht="12.75">
      <c r="A33" t="s">
        <v>47</v>
      </c>
      <c r="B33">
        <v>200</v>
      </c>
    </row>
    <row r="34" spans="1:2" ht="12.75">
      <c r="A34" t="s">
        <v>49</v>
      </c>
      <c r="B34">
        <f>B32-B33</f>
        <v>-19600</v>
      </c>
    </row>
    <row r="35" spans="1:2" ht="12.75">
      <c r="A35" t="s">
        <v>50</v>
      </c>
      <c r="B35">
        <v>5000</v>
      </c>
    </row>
    <row r="36" spans="1:2" ht="12.75">
      <c r="A36" t="s">
        <v>51</v>
      </c>
      <c r="B36">
        <f>B34-B35</f>
        <v>-24600</v>
      </c>
    </row>
    <row r="37" spans="1:2" ht="12.75">
      <c r="A37" t="s">
        <v>56</v>
      </c>
      <c r="B37">
        <f>B36+D9</f>
        <v>21460</v>
      </c>
    </row>
    <row r="39" ht="12.75">
      <c r="B39" s="1" t="s">
        <v>29</v>
      </c>
    </row>
    <row r="40" ht="13.5" thickBot="1">
      <c r="B40" s="1" t="s">
        <v>52</v>
      </c>
    </row>
    <row r="41" spans="1:4" ht="13.5" thickBot="1">
      <c r="A41" s="2"/>
      <c r="B41" s="3" t="s">
        <v>5</v>
      </c>
      <c r="C41" s="3"/>
      <c r="D41" s="4" t="s">
        <v>7</v>
      </c>
    </row>
    <row r="42" spans="1:4" ht="13.5" thickBot="1">
      <c r="A42" s="21" t="s">
        <v>13</v>
      </c>
      <c r="B42" s="22"/>
      <c r="C42" s="23" t="s">
        <v>14</v>
      </c>
      <c r="D42" s="24"/>
    </row>
    <row r="43" spans="1:4" ht="12.75">
      <c r="A43" s="9" t="s">
        <v>11</v>
      </c>
      <c r="B43" s="6">
        <v>11700</v>
      </c>
      <c r="C43" s="9" t="s">
        <v>15</v>
      </c>
      <c r="D43" s="8">
        <v>5880</v>
      </c>
    </row>
    <row r="44" spans="1:4" ht="12.75">
      <c r="A44" s="9" t="s">
        <v>12</v>
      </c>
      <c r="B44" s="6">
        <v>0</v>
      </c>
      <c r="C44" s="9" t="s">
        <v>59</v>
      </c>
      <c r="D44" s="8">
        <f>720000-12000+24000-2000</f>
        <v>730000</v>
      </c>
    </row>
    <row r="45" spans="1:4" ht="12.75">
      <c r="A45" s="9" t="s">
        <v>3</v>
      </c>
      <c r="B45" s="6">
        <v>3960</v>
      </c>
      <c r="C45" s="9" t="s">
        <v>17</v>
      </c>
      <c r="D45" s="8">
        <v>200</v>
      </c>
    </row>
    <row r="46" spans="1:4" ht="12.75">
      <c r="A46" s="9" t="s">
        <v>54</v>
      </c>
      <c r="B46" s="16">
        <v>24000</v>
      </c>
      <c r="C46" s="9" t="s">
        <v>18</v>
      </c>
      <c r="D46" s="8">
        <v>2120</v>
      </c>
    </row>
    <row r="47" spans="1:4" ht="12.75">
      <c r="A47" s="9" t="s">
        <v>55</v>
      </c>
      <c r="B47" s="16">
        <v>720000</v>
      </c>
      <c r="C47" s="9" t="s">
        <v>19</v>
      </c>
      <c r="D47" s="8">
        <v>21460</v>
      </c>
    </row>
    <row r="48" spans="1:4" ht="13.5" thickBot="1">
      <c r="A48" s="13" t="s">
        <v>8</v>
      </c>
      <c r="B48" s="14">
        <f>SUM(B43:B47)</f>
        <v>759660</v>
      </c>
      <c r="C48" s="14" t="s">
        <v>9</v>
      </c>
      <c r="D48" s="15">
        <f>SUM(D43:D47)</f>
        <v>759660</v>
      </c>
    </row>
    <row r="56" ht="15">
      <c r="A56" s="47" t="s">
        <v>146</v>
      </c>
    </row>
    <row r="57" ht="15">
      <c r="A57" s="48" t="s">
        <v>147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85" zoomScaleNormal="85" workbookViewId="0" topLeftCell="A1">
      <selection activeCell="A40" sqref="A40"/>
    </sheetView>
  </sheetViews>
  <sheetFormatPr defaultColWidth="9.140625" defaultRowHeight="12.75"/>
  <cols>
    <col min="1" max="1" width="25.7109375" style="0" customWidth="1"/>
    <col min="2" max="2" width="7.00390625" style="0" customWidth="1"/>
    <col min="3" max="3" width="8.140625" style="0" customWidth="1"/>
    <col min="4" max="4" width="26.28125" style="0" customWidth="1"/>
    <col min="5" max="5" width="8.00390625" style="0" customWidth="1"/>
    <col min="6" max="6" width="5.57421875" style="0" customWidth="1"/>
    <col min="7" max="7" width="26.00390625" style="0" customWidth="1"/>
    <col min="8" max="8" width="7.7109375" style="0" customWidth="1"/>
    <col min="10" max="10" width="31.140625" style="0" customWidth="1"/>
    <col min="11" max="11" width="8.7109375" style="0" customWidth="1"/>
  </cols>
  <sheetData>
    <row r="1" spans="1:7" ht="12.75">
      <c r="A1" s="1" t="s">
        <v>79</v>
      </c>
      <c r="B1" s="1"/>
      <c r="G1" s="1" t="s">
        <v>79</v>
      </c>
    </row>
    <row r="2" spans="1:7" ht="13.5" thickBot="1">
      <c r="A2" s="1" t="s">
        <v>122</v>
      </c>
      <c r="B2" s="1"/>
      <c r="C2" s="1"/>
      <c r="G2" s="1" t="s">
        <v>123</v>
      </c>
    </row>
    <row r="3" spans="1:5" ht="13.5" thickBot="1">
      <c r="A3" s="2"/>
      <c r="B3" s="3"/>
      <c r="C3" s="3" t="s">
        <v>5</v>
      </c>
      <c r="D3" s="3"/>
      <c r="E3" s="4" t="s">
        <v>7</v>
      </c>
    </row>
    <row r="4" spans="1:10" ht="12.75">
      <c r="A4" s="5" t="s">
        <v>13</v>
      </c>
      <c r="B4" s="7"/>
      <c r="C4" s="6"/>
      <c r="D4" s="7" t="s">
        <v>14</v>
      </c>
      <c r="E4" s="8"/>
      <c r="G4" s="39" t="s">
        <v>28</v>
      </c>
      <c r="H4" s="18"/>
      <c r="I4" s="4"/>
      <c r="J4" t="s">
        <v>124</v>
      </c>
    </row>
    <row r="5" spans="1:10" ht="12.75">
      <c r="A5" s="9" t="s">
        <v>11</v>
      </c>
      <c r="B5" s="6"/>
      <c r="C5" s="6">
        <v>500</v>
      </c>
      <c r="D5" s="9" t="s">
        <v>15</v>
      </c>
      <c r="E5" s="8">
        <v>1500</v>
      </c>
      <c r="G5" s="12" t="s">
        <v>31</v>
      </c>
      <c r="H5" s="10"/>
      <c r="I5" s="11">
        <f>SUM(I6:I9)</f>
        <v>21215</v>
      </c>
      <c r="J5" t="s">
        <v>125</v>
      </c>
    </row>
    <row r="6" spans="1:10" ht="12.75">
      <c r="A6" s="9" t="s">
        <v>12</v>
      </c>
      <c r="B6" s="6"/>
      <c r="C6" s="6">
        <v>3000</v>
      </c>
      <c r="D6" s="9" t="s">
        <v>83</v>
      </c>
      <c r="E6" s="8">
        <v>3500</v>
      </c>
      <c r="G6" s="9" t="s">
        <v>126</v>
      </c>
      <c r="H6" s="6"/>
      <c r="I6" s="8">
        <f>I9*0.3/0.5</f>
        <v>6364.5</v>
      </c>
      <c r="J6" t="s">
        <v>127</v>
      </c>
    </row>
    <row r="7" spans="1:10" ht="12.75">
      <c r="A7" s="9" t="s">
        <v>80</v>
      </c>
      <c r="B7" s="6"/>
      <c r="C7" s="6">
        <v>3880</v>
      </c>
      <c r="D7" s="12" t="s">
        <v>6</v>
      </c>
      <c r="E7" s="11">
        <f>SUM(E5:E6)</f>
        <v>5000</v>
      </c>
      <c r="G7" s="9" t="s">
        <v>128</v>
      </c>
      <c r="H7" s="6"/>
      <c r="I7" s="8">
        <f>I9*0.1/0.5</f>
        <v>2121.5</v>
      </c>
      <c r="J7" t="s">
        <v>129</v>
      </c>
    </row>
    <row r="8" spans="1:10" ht="12.75">
      <c r="A8" s="9" t="s">
        <v>81</v>
      </c>
      <c r="B8" s="6"/>
      <c r="C8" s="16">
        <v>1000</v>
      </c>
      <c r="D8" s="9"/>
      <c r="E8" s="8"/>
      <c r="G8" s="9" t="s">
        <v>130</v>
      </c>
      <c r="H8" s="6"/>
      <c r="I8" s="8">
        <f>I9*0.1/0.5</f>
        <v>2121.5</v>
      </c>
      <c r="J8" t="s">
        <v>129</v>
      </c>
    </row>
    <row r="9" spans="1:10" ht="12.75">
      <c r="A9" s="9" t="s">
        <v>60</v>
      </c>
      <c r="B9" s="6"/>
      <c r="C9" s="16">
        <v>120</v>
      </c>
      <c r="D9" s="9"/>
      <c r="E9" s="8"/>
      <c r="G9" s="12" t="s">
        <v>33</v>
      </c>
      <c r="H9" s="10"/>
      <c r="I9" s="11">
        <f>I10+I11+I12</f>
        <v>10607.5</v>
      </c>
      <c r="J9" t="s">
        <v>131</v>
      </c>
    </row>
    <row r="10" spans="1:10" ht="12.75">
      <c r="A10" s="12" t="s">
        <v>4</v>
      </c>
      <c r="B10" s="10"/>
      <c r="C10" s="17">
        <f>SUM(C5:C9)</f>
        <v>8500</v>
      </c>
      <c r="D10" s="9"/>
      <c r="E10" s="8"/>
      <c r="G10" s="9" t="s">
        <v>132</v>
      </c>
      <c r="H10" s="6"/>
      <c r="I10" s="8">
        <f>2500+1800</f>
        <v>4300</v>
      </c>
      <c r="J10" t="s">
        <v>133</v>
      </c>
    </row>
    <row r="11" spans="1:10" ht="12.75">
      <c r="A11" s="9"/>
      <c r="B11" s="6"/>
      <c r="C11" s="16"/>
      <c r="D11" s="9"/>
      <c r="E11" s="8"/>
      <c r="G11" s="9" t="s">
        <v>134</v>
      </c>
      <c r="H11" s="6"/>
      <c r="I11" s="8">
        <f>370+87.5</f>
        <v>457.5</v>
      </c>
      <c r="J11" t="s">
        <v>135</v>
      </c>
    </row>
    <row r="12" spans="1:9" ht="12.75">
      <c r="A12" s="9" t="s">
        <v>0</v>
      </c>
      <c r="B12" s="6"/>
      <c r="C12" s="16">
        <v>300</v>
      </c>
      <c r="D12" s="12" t="s">
        <v>85</v>
      </c>
      <c r="E12" s="8"/>
      <c r="G12" s="9" t="s">
        <v>46</v>
      </c>
      <c r="H12" s="6"/>
      <c r="I12" s="8">
        <f>I13+I14</f>
        <v>5850</v>
      </c>
    </row>
    <row r="13" spans="1:10" ht="12.75">
      <c r="A13" s="9" t="s">
        <v>82</v>
      </c>
      <c r="B13" s="6">
        <v>1400</v>
      </c>
      <c r="C13" s="16"/>
      <c r="D13" s="9" t="s">
        <v>84</v>
      </c>
      <c r="E13" s="8">
        <v>1000</v>
      </c>
      <c r="G13" s="9" t="s">
        <v>47</v>
      </c>
      <c r="H13" s="6"/>
      <c r="I13" s="8">
        <v>350</v>
      </c>
      <c r="J13" t="s">
        <v>136</v>
      </c>
    </row>
    <row r="14" spans="1:10" ht="12.75">
      <c r="A14" s="9" t="s">
        <v>2</v>
      </c>
      <c r="B14" s="6">
        <v>700</v>
      </c>
      <c r="C14" s="16">
        <f>B13-B14</f>
        <v>700</v>
      </c>
      <c r="D14" s="9" t="s">
        <v>62</v>
      </c>
      <c r="E14" s="8">
        <v>1000</v>
      </c>
      <c r="G14" s="9" t="s">
        <v>86</v>
      </c>
      <c r="H14" s="6"/>
      <c r="I14" s="8">
        <f>I15+I16</f>
        <v>5500</v>
      </c>
      <c r="J14" t="s">
        <v>137</v>
      </c>
    </row>
    <row r="15" spans="1:10" ht="12.75">
      <c r="A15" s="9" t="s">
        <v>61</v>
      </c>
      <c r="B15" s="6"/>
      <c r="C15" s="16">
        <v>1000</v>
      </c>
      <c r="D15" s="6" t="s">
        <v>63</v>
      </c>
      <c r="E15" s="8">
        <v>3500</v>
      </c>
      <c r="G15" s="9" t="s">
        <v>138</v>
      </c>
      <c r="H15" s="6"/>
      <c r="I15" s="8">
        <f>I16*0.3/0.7</f>
        <v>1650</v>
      </c>
      <c r="J15" t="s">
        <v>139</v>
      </c>
    </row>
    <row r="16" spans="1:10" ht="12.75">
      <c r="A16" s="9"/>
      <c r="B16" s="6"/>
      <c r="C16" s="16"/>
      <c r="D16" s="6"/>
      <c r="E16" s="8"/>
      <c r="G16" s="12" t="s">
        <v>87</v>
      </c>
      <c r="H16" s="10"/>
      <c r="I16" s="11">
        <v>3850</v>
      </c>
      <c r="J16" t="s">
        <v>140</v>
      </c>
    </row>
    <row r="17" spans="1:10" ht="13.5" thickBot="1">
      <c r="A17" s="13" t="s">
        <v>8</v>
      </c>
      <c r="B17" s="14"/>
      <c r="C17" s="14">
        <f>SUM(C10:C16)</f>
        <v>10500</v>
      </c>
      <c r="D17" s="14" t="s">
        <v>9</v>
      </c>
      <c r="E17" s="15">
        <f>SUM(E7:E15)</f>
        <v>10500</v>
      </c>
      <c r="G17" s="9" t="s">
        <v>141</v>
      </c>
      <c r="H17" s="6"/>
      <c r="I17" s="8">
        <v>0</v>
      </c>
      <c r="J17" t="s">
        <v>142</v>
      </c>
    </row>
    <row r="18" spans="7:9" ht="13.5" thickBot="1">
      <c r="G18" s="40" t="s">
        <v>143</v>
      </c>
      <c r="H18" s="19"/>
      <c r="I18" s="20">
        <f>I16-I17</f>
        <v>3850</v>
      </c>
    </row>
    <row r="19" spans="1:8" ht="12.75">
      <c r="A19" s="2" t="s">
        <v>20</v>
      </c>
      <c r="B19" s="3"/>
      <c r="C19" s="3"/>
      <c r="D19" s="3"/>
      <c r="E19" s="4"/>
      <c r="G19" s="1" t="s">
        <v>79</v>
      </c>
      <c r="H19" s="1"/>
    </row>
    <row r="20" spans="1:9" ht="13.5" thickBot="1">
      <c r="A20" s="9" t="s">
        <v>21</v>
      </c>
      <c r="B20" s="6"/>
      <c r="C20" s="6">
        <v>500</v>
      </c>
      <c r="D20" s="6" t="s">
        <v>78</v>
      </c>
      <c r="E20" s="8"/>
      <c r="G20" s="1" t="s">
        <v>144</v>
      </c>
      <c r="H20" s="1"/>
      <c r="I20" s="1"/>
    </row>
    <row r="21" spans="1:11" ht="12.75">
      <c r="A21" s="9" t="s">
        <v>22</v>
      </c>
      <c r="B21" s="6"/>
      <c r="C21" s="6"/>
      <c r="D21" s="6" t="s">
        <v>90</v>
      </c>
      <c r="E21" s="8">
        <f>2300*0.2</f>
        <v>460</v>
      </c>
      <c r="G21" s="2"/>
      <c r="H21" s="3"/>
      <c r="I21" s="3" t="s">
        <v>5</v>
      </c>
      <c r="J21" s="3"/>
      <c r="K21" s="4" t="s">
        <v>7</v>
      </c>
    </row>
    <row r="22" spans="1:11" ht="12.75">
      <c r="A22" s="9" t="s">
        <v>88</v>
      </c>
      <c r="B22" s="6"/>
      <c r="C22" s="6">
        <v>5600</v>
      </c>
      <c r="D22" s="6" t="s">
        <v>145</v>
      </c>
      <c r="E22" s="8">
        <v>4300</v>
      </c>
      <c r="G22" s="5" t="s">
        <v>13</v>
      </c>
      <c r="H22" s="7"/>
      <c r="I22" s="6"/>
      <c r="J22" s="7" t="s">
        <v>14</v>
      </c>
      <c r="K22" s="8"/>
    </row>
    <row r="23" spans="1:11" ht="12.75">
      <c r="A23" s="9" t="s">
        <v>23</v>
      </c>
      <c r="B23" s="6"/>
      <c r="C23" s="6">
        <f>C6+I5-I24</f>
        <v>22447</v>
      </c>
      <c r="D23" s="16" t="s">
        <v>92</v>
      </c>
      <c r="E23" s="8">
        <f>E5+6484.5-648.5</f>
        <v>7336</v>
      </c>
      <c r="G23" s="9" t="s">
        <v>10</v>
      </c>
      <c r="H23" s="6"/>
      <c r="I23" s="6">
        <f>C28</f>
        <v>7058</v>
      </c>
      <c r="J23" s="9" t="s">
        <v>15</v>
      </c>
      <c r="K23" s="8">
        <v>648.5</v>
      </c>
    </row>
    <row r="24" spans="1:11" ht="12.75">
      <c r="A24" s="9"/>
      <c r="B24" s="6"/>
      <c r="C24" s="6"/>
      <c r="D24" s="16" t="s">
        <v>93</v>
      </c>
      <c r="E24" s="8">
        <v>2121.5</v>
      </c>
      <c r="G24" s="9" t="s">
        <v>12</v>
      </c>
      <c r="H24" s="6"/>
      <c r="I24" s="6">
        <v>1768</v>
      </c>
      <c r="J24" s="9"/>
      <c r="K24" s="8"/>
    </row>
    <row r="25" spans="1:11" ht="12.75">
      <c r="A25" s="9"/>
      <c r="B25" s="6"/>
      <c r="C25" s="6"/>
      <c r="D25" s="16" t="s">
        <v>94</v>
      </c>
      <c r="E25" s="8">
        <v>2121.5</v>
      </c>
      <c r="G25" s="9" t="s">
        <v>80</v>
      </c>
      <c r="H25" s="6"/>
      <c r="I25" s="6">
        <v>3000</v>
      </c>
      <c r="J25" s="12" t="s">
        <v>6</v>
      </c>
      <c r="K25" s="11">
        <f>SUM(K23:K24)</f>
        <v>648.5</v>
      </c>
    </row>
    <row r="26" spans="1:11" ht="12.75">
      <c r="A26" s="9"/>
      <c r="B26" s="6"/>
      <c r="C26" s="6"/>
      <c r="D26" s="16" t="s">
        <v>95</v>
      </c>
      <c r="E26" s="8">
        <v>1650</v>
      </c>
      <c r="G26" s="9" t="s">
        <v>81</v>
      </c>
      <c r="H26" s="6"/>
      <c r="I26" s="16">
        <v>2000</v>
      </c>
      <c r="J26" s="9"/>
      <c r="K26" s="8"/>
    </row>
    <row r="27" spans="1:11" ht="12.75">
      <c r="A27" s="9"/>
      <c r="B27" s="6"/>
      <c r="C27" s="6"/>
      <c r="D27" s="16" t="s">
        <v>83</v>
      </c>
      <c r="E27" s="8">
        <v>3500</v>
      </c>
      <c r="G27" s="9" t="s">
        <v>60</v>
      </c>
      <c r="H27" s="6"/>
      <c r="I27" s="16">
        <v>120</v>
      </c>
      <c r="J27" s="9" t="s">
        <v>91</v>
      </c>
      <c r="K27" s="8">
        <f>3500*1.1</f>
        <v>3850.0000000000005</v>
      </c>
    </row>
    <row r="28" spans="1:11" ht="13.5" thickBot="1">
      <c r="A28" s="13" t="s">
        <v>53</v>
      </c>
      <c r="B28" s="14"/>
      <c r="C28" s="14">
        <f>SUM(C20:C26)-SUM(E21:E27)</f>
        <v>7058</v>
      </c>
      <c r="D28" s="19"/>
      <c r="E28" s="20"/>
      <c r="G28" s="12" t="s">
        <v>4</v>
      </c>
      <c r="H28" s="10"/>
      <c r="I28" s="17">
        <f>SUM(I23:I27)</f>
        <v>13946</v>
      </c>
      <c r="J28" s="9" t="s">
        <v>89</v>
      </c>
      <c r="K28" s="8">
        <f>2300*0.8</f>
        <v>1840</v>
      </c>
    </row>
    <row r="29" spans="7:11" ht="12.75">
      <c r="G29" s="9" t="s">
        <v>0</v>
      </c>
      <c r="H29" s="6"/>
      <c r="I29" s="16">
        <v>300</v>
      </c>
      <c r="J29" s="9"/>
      <c r="K29" s="8"/>
    </row>
    <row r="30" spans="7:11" ht="12.75">
      <c r="G30" s="9" t="s">
        <v>1</v>
      </c>
      <c r="H30" s="6">
        <v>3500</v>
      </c>
      <c r="I30" s="16"/>
      <c r="J30" s="12" t="s">
        <v>85</v>
      </c>
      <c r="K30" s="8"/>
    </row>
    <row r="31" spans="7:11" ht="12.75">
      <c r="G31" s="9" t="s">
        <v>2</v>
      </c>
      <c r="H31" s="6">
        <f>0.025*H30</f>
        <v>87.5</v>
      </c>
      <c r="I31" s="16">
        <f>H30-H31</f>
        <v>3412.5</v>
      </c>
      <c r="J31" s="9" t="s">
        <v>84</v>
      </c>
      <c r="K31" s="8">
        <v>3800</v>
      </c>
    </row>
    <row r="32" spans="7:11" ht="12.75">
      <c r="G32" s="9" t="s">
        <v>82</v>
      </c>
      <c r="H32" s="6">
        <v>3700</v>
      </c>
      <c r="I32" s="16"/>
      <c r="J32" s="9" t="s">
        <v>62</v>
      </c>
      <c r="K32" s="8">
        <v>3800</v>
      </c>
    </row>
    <row r="33" spans="7:11" ht="12.75">
      <c r="G33" s="9" t="s">
        <v>2</v>
      </c>
      <c r="H33" s="6">
        <f>700+(0.1*H32)</f>
        <v>1070</v>
      </c>
      <c r="I33" s="16">
        <f>H32-H33</f>
        <v>2630</v>
      </c>
      <c r="J33" s="6" t="s">
        <v>63</v>
      </c>
      <c r="K33" s="8">
        <f>3500+I18</f>
        <v>7350</v>
      </c>
    </row>
    <row r="34" spans="7:11" ht="12.75">
      <c r="G34" s="9" t="s">
        <v>61</v>
      </c>
      <c r="H34" s="6"/>
      <c r="I34" s="16">
        <v>1000</v>
      </c>
      <c r="J34" s="6"/>
      <c r="K34" s="8"/>
    </row>
    <row r="35" spans="7:11" ht="13.5" thickBot="1">
      <c r="G35" s="13" t="s">
        <v>8</v>
      </c>
      <c r="H35" s="14"/>
      <c r="I35" s="14">
        <f>SUM(I28:I34)</f>
        <v>21288.5</v>
      </c>
      <c r="J35" s="14" t="s">
        <v>9</v>
      </c>
      <c r="K35" s="15">
        <f>SUM(K25:K33)</f>
        <v>21288.5</v>
      </c>
    </row>
    <row r="39" ht="15">
      <c r="A39" s="47" t="s">
        <v>146</v>
      </c>
    </row>
    <row r="40" ht="15">
      <c r="A40" s="48" t="s">
        <v>147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4">
      <selection activeCell="A27" sqref="A27"/>
    </sheetView>
  </sheetViews>
  <sheetFormatPr defaultColWidth="9.140625" defaultRowHeight="12.75"/>
  <cols>
    <col min="1" max="1" width="40.57421875" style="0" customWidth="1"/>
    <col min="2" max="2" width="10.421875" style="0" customWidth="1"/>
    <col min="3" max="3" width="11.28125" style="0" customWidth="1"/>
  </cols>
  <sheetData>
    <row r="1" spans="1:2" ht="12.75">
      <c r="A1" s="1" t="s">
        <v>64</v>
      </c>
      <c r="B1" s="1"/>
    </row>
    <row r="2" spans="1:3" ht="13.5" thickBot="1">
      <c r="A2" s="1" t="s">
        <v>121</v>
      </c>
      <c r="B2" s="1"/>
      <c r="C2" s="1"/>
    </row>
    <row r="3" spans="1:3" ht="13.5" thickBot="1">
      <c r="A3" s="2"/>
      <c r="B3" s="4" t="s">
        <v>65</v>
      </c>
      <c r="C3" s="4"/>
    </row>
    <row r="4" spans="1:3" ht="12.75">
      <c r="A4" s="33" t="s">
        <v>31</v>
      </c>
      <c r="B4" s="34"/>
      <c r="C4" s="35">
        <v>24856000</v>
      </c>
    </row>
    <row r="5" spans="1:3" ht="12.75">
      <c r="A5" s="36"/>
      <c r="B5" s="37"/>
      <c r="C5" s="38"/>
    </row>
    <row r="6" spans="1:3" ht="12.75">
      <c r="A6" s="36" t="s">
        <v>70</v>
      </c>
      <c r="B6" s="27"/>
      <c r="C6" s="30"/>
    </row>
    <row r="7" spans="1:3" ht="12.75">
      <c r="A7" s="29" t="s">
        <v>66</v>
      </c>
      <c r="B7" s="27">
        <f>186000+1128000-105000</f>
        <v>1209000</v>
      </c>
      <c r="C7" s="30"/>
    </row>
    <row r="8" spans="1:3" ht="12.75">
      <c r="A8" s="29" t="s">
        <v>67</v>
      </c>
      <c r="B8" s="27">
        <f>159600+1085000-165850</f>
        <v>1078750</v>
      </c>
      <c r="C8" s="30"/>
    </row>
    <row r="9" spans="1:3" ht="12.75">
      <c r="A9" s="29" t="s">
        <v>68</v>
      </c>
      <c r="B9" s="27">
        <f>168900+258000-86400</f>
        <v>340500</v>
      </c>
      <c r="C9" s="30"/>
    </row>
    <row r="10" spans="1:3" ht="12.75">
      <c r="A10" s="29" t="s">
        <v>69</v>
      </c>
      <c r="B10" s="27"/>
      <c r="C10" s="30">
        <f>SUM(B7:B9)</f>
        <v>2628250</v>
      </c>
    </row>
    <row r="11" spans="1:3" ht="12.75">
      <c r="A11" s="29" t="s">
        <v>71</v>
      </c>
      <c r="B11" s="27"/>
      <c r="C11" s="30">
        <v>1825000</v>
      </c>
    </row>
    <row r="12" spans="1:3" ht="12.75">
      <c r="A12" s="29" t="s">
        <v>74</v>
      </c>
      <c r="B12" s="27"/>
      <c r="C12" s="30">
        <v>5600000</v>
      </c>
    </row>
    <row r="13" spans="1:3" ht="12.75">
      <c r="A13" s="29" t="s">
        <v>72</v>
      </c>
      <c r="B13" s="27"/>
      <c r="C13" s="30">
        <v>6000</v>
      </c>
    </row>
    <row r="14" spans="1:3" ht="12.75">
      <c r="A14" s="29" t="s">
        <v>73</v>
      </c>
      <c r="B14" s="27"/>
      <c r="C14" s="30">
        <v>12000</v>
      </c>
    </row>
    <row r="15" spans="1:3" ht="13.5" thickBot="1">
      <c r="A15" s="31" t="s">
        <v>75</v>
      </c>
      <c r="B15" s="28"/>
      <c r="C15" s="32">
        <f>C4-SUM(C10:C14)</f>
        <v>14784750</v>
      </c>
    </row>
    <row r="17" ht="12.75">
      <c r="A17" t="s">
        <v>76</v>
      </c>
    </row>
    <row r="18" spans="1:3" ht="78" customHeight="1">
      <c r="A18" s="25" t="s">
        <v>77</v>
      </c>
      <c r="B18" s="26"/>
      <c r="C18" s="26"/>
    </row>
    <row r="26" ht="15">
      <c r="A26" s="47" t="s">
        <v>146</v>
      </c>
    </row>
    <row r="27" ht="15">
      <c r="A27" s="48" t="s">
        <v>147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XLRI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</dc:creator>
  <cp:keywords/>
  <dc:description/>
  <cp:lastModifiedBy> </cp:lastModifiedBy>
  <cp:lastPrinted>2005-07-26T12:57:57Z</cp:lastPrinted>
  <dcterms:created xsi:type="dcterms:W3CDTF">2005-07-26T08:15:19Z</dcterms:created>
  <dcterms:modified xsi:type="dcterms:W3CDTF">2007-07-30T09:07:54Z</dcterms:modified>
  <cp:category/>
  <cp:version/>
  <cp:contentType/>
  <cp:contentStatus/>
</cp:coreProperties>
</file>