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85" activeTab="0"/>
  </bookViews>
  <sheets>
    <sheet name="Chapter 10" sheetId="1" r:id="rId1"/>
    <sheet name="Normal" sheetId="2" r:id="rId2"/>
    <sheet name="Mean Chart (1)" sheetId="3" r:id="rId3"/>
    <sheet name="Mean Chart (2)" sheetId="4" r:id="rId4"/>
    <sheet name="Range Chart" sheetId="5" r:id="rId5"/>
    <sheet name="p-Chart" sheetId="6" r:id="rId6"/>
    <sheet name="c-Chart" sheetId="7" r:id="rId7"/>
    <sheet name="Runs Tests" sheetId="8" r:id="rId8"/>
    <sheet name="Process Capability" sheetId="9" r:id="rId9"/>
    <sheet name="Examples" sheetId="10" r:id="rId10"/>
    <sheet name="Solved Problems" sheetId="11" r:id="rId11"/>
  </sheets>
  <externalReferences>
    <externalReference r:id="rId14"/>
  </externalReferences>
  <definedNames>
    <definedName name="counter14">'Normal'!$C$5</definedName>
    <definedName name="counter15">'Mean Chart (1)'!$D$6</definedName>
    <definedName name="counter18">'p-Chart'!$D$6</definedName>
    <definedName name="counter19">'c-Chart'!$D$6</definedName>
    <definedName name="counter22a">'[1]Acceptance Sampling'!$C$21</definedName>
    <definedName name="counter22b">'[1]Acceptance Sampling'!$H$21</definedName>
    <definedName name="increment14">'Normal'!$C$6</definedName>
    <definedName name="increment15">'Mean Chart (1)'!$D$7</definedName>
    <definedName name="increment18">'p-Chart'!$D$7</definedName>
    <definedName name="increment19">'c-Chart'!$D$7</definedName>
    <definedName name="increment22a">'[1]Acceptance Sampling'!$C$20</definedName>
    <definedName name="increment22b">'[1]Acceptance Sampling'!$H$20</definedName>
    <definedName name="input15" localSheetId="1">'[1]Mean Chart (1)'!$C$3:$C$6,'[1]Mean Chart (1)'!$B$14:$B$33</definedName>
    <definedName name="input15">'Mean Chart (1)'!$D$3:$D$6,'Mean Chart (1)'!$C$17:$C$56</definedName>
    <definedName name="input16" localSheetId="1">'[1]Mean Chart (2)'!$C$3:$C$5,'[1]Mean Chart (2)'!$B$13:$C$32</definedName>
    <definedName name="input16">'Mean Chart (2)'!$D$3:$D$5,'Mean Chart (2)'!$C$15:$D$34</definedName>
    <definedName name="input17" localSheetId="1">'[1]Range Chart'!$C$4:$C$5,'[1]Range Chart'!$B$13:$B$32</definedName>
    <definedName name="input17">'Range Chart'!$D$4:$D$5,'Range Chart'!$C$15:$C$34</definedName>
    <definedName name="input18" localSheetId="1">'[1]p-Chart'!$C$4:$C$6,'[1]p-Chart'!$B$14:$B$33</definedName>
    <definedName name="input18">'p-Chart'!$D$4:$D$6,'p-Chart'!$C$17:$C$36</definedName>
    <definedName name="input19" localSheetId="1">'[1]c-Chart'!$C$5:$C$6,'[1]c-Chart'!$B$14:$B$33</definedName>
    <definedName name="input19">'c-Chart'!$D$5:$D$6,'c-Chart'!$C$17:$C$36</definedName>
    <definedName name="input20" localSheetId="1">'[1]Runs Tests'!$C$3:$C$4,'[1]Runs Tests'!$B$16:$B$35</definedName>
    <definedName name="input20">'Runs Tests'!$C$3:$C$4,'Runs Tests'!$B$16:$B$75</definedName>
    <definedName name="input21" localSheetId="1">'[1]Process Capability'!$C$4,'[1]Process Capability'!$B$9:$B$13,'[1]Process Capability'!$D$9:$D$13</definedName>
    <definedName name="input21">'Process Capability'!$B$6:$B$10,'Process Capability'!$D$6:$D$10,'Process Capability'!$B$17:$D$21,'Process Capability'!$F$17:$F$21</definedName>
    <definedName name="_xlnm.Print_Area" localSheetId="3">'Mean Chart (2)'!$A$1:$J$35</definedName>
    <definedName name="_xlnm.Print_Area" localSheetId="4">'Range Chart'!$A$1:$K$35</definedName>
    <definedName name="_xlnm.Print_Area" localSheetId="7">'Runs Tests'!$A$1:$J$76</definedName>
  </definedNames>
  <calcPr fullCalcOnLoad="1"/>
</workbook>
</file>

<file path=xl/sharedStrings.xml><?xml version="1.0" encoding="utf-8"?>
<sst xmlns="http://schemas.openxmlformats.org/spreadsheetml/2006/main" count="421" uniqueCount="95">
  <si>
    <t>Mean</t>
  </si>
  <si>
    <t>Range</t>
  </si>
  <si>
    <t>UCL =</t>
  </si>
  <si>
    <t>LCL =</t>
  </si>
  <si>
    <t>n</t>
  </si>
  <si>
    <t>A2</t>
  </si>
  <si>
    <t>D3</t>
  </si>
  <si>
    <t>D4</t>
  </si>
  <si>
    <t>1.</t>
  </si>
  <si>
    <t>2.</t>
  </si>
  <si>
    <t>Process Capability</t>
  </si>
  <si>
    <t>Range Control Chart</t>
  </si>
  <si>
    <t>Table.</t>
  </si>
  <si>
    <t>Sample</t>
  </si>
  <si>
    <t>Average</t>
  </si>
  <si>
    <t>p-Chart</t>
  </si>
  <si>
    <t>c-Chart</t>
  </si>
  <si>
    <t>c</t>
  </si>
  <si>
    <t>p</t>
  </si>
  <si>
    <t>Median</t>
  </si>
  <si>
    <t>A/B</t>
  </si>
  <si>
    <t>U/D</t>
  </si>
  <si>
    <t>Runs Tests</t>
  </si>
  <si>
    <t xml:space="preserve">Average of sample ranges  </t>
  </si>
  <si>
    <t xml:space="preserve">Average of sample means  </t>
  </si>
  <si>
    <t xml:space="preserve">Standard Deviation  </t>
  </si>
  <si>
    <t xml:space="preserve">Actual Runs  </t>
  </si>
  <si>
    <t>Machine</t>
  </si>
  <si>
    <t>Standard</t>
  </si>
  <si>
    <t>Deviation</t>
  </si>
  <si>
    <t>Capability</t>
  </si>
  <si>
    <t>A</t>
  </si>
  <si>
    <t>B</t>
  </si>
  <si>
    <t>C</t>
  </si>
  <si>
    <t>Specification</t>
  </si>
  <si>
    <t>Width</t>
  </si>
  <si>
    <t>D</t>
  </si>
  <si>
    <t>E</t>
  </si>
  <si>
    <t xml:space="preserve">Number of observations  </t>
  </si>
  <si>
    <t xml:space="preserve">Median  </t>
  </si>
  <si>
    <t xml:space="preserve">Sample size  </t>
  </si>
  <si>
    <t xml:space="preserve">Process standard deviation </t>
  </si>
  <si>
    <r>
      <t>Mean Control Chart (</t>
    </r>
    <r>
      <rPr>
        <b/>
        <u val="single"/>
        <sz val="10"/>
        <rFont val="Symbol"/>
        <family val="1"/>
      </rPr>
      <t>s</t>
    </r>
    <r>
      <rPr>
        <b/>
        <u val="single"/>
        <sz val="10"/>
        <rFont val="Arial"/>
        <family val="2"/>
      </rPr>
      <t xml:space="preserve"> known)</t>
    </r>
  </si>
  <si>
    <r>
      <t>Mean Control Chart (</t>
    </r>
    <r>
      <rPr>
        <b/>
        <u val="single"/>
        <sz val="10"/>
        <rFont val="Symbol"/>
        <family val="1"/>
      </rPr>
      <t>s</t>
    </r>
    <r>
      <rPr>
        <b/>
        <u val="single"/>
        <sz val="10"/>
        <rFont val="Arial"/>
        <family val="2"/>
      </rPr>
      <t xml:space="preserve"> unknown)</t>
    </r>
  </si>
  <si>
    <r>
      <t>C</t>
    </r>
    <r>
      <rPr>
        <b/>
        <vertAlign val="subscript"/>
        <sz val="10"/>
        <rFont val="Arial"/>
        <family val="2"/>
      </rPr>
      <t>p</t>
    </r>
  </si>
  <si>
    <t>created by Lee Tangedahl, The University of Montana</t>
  </si>
  <si>
    <t>Copyright © 2001 by The McGraw Hill Companies, Inc.</t>
  </si>
  <si>
    <t>Templates:</t>
  </si>
  <si>
    <t>Examples</t>
  </si>
  <si>
    <t>Solved Problems</t>
  </si>
  <si>
    <t/>
  </si>
  <si>
    <t>3.</t>
  </si>
  <si>
    <t>4.</t>
  </si>
  <si>
    <t>Chapter 10 - Examples</t>
  </si>
  <si>
    <t>Chapter 10 - Solved Problems</t>
  </si>
  <si>
    <t>Chapter Ten - Quality Control</t>
  </si>
  <si>
    <t xml:space="preserve">Average defects/unit  </t>
  </si>
  <si>
    <t xml:space="preserve">Average proportion  </t>
  </si>
  <si>
    <t>Calculations:</t>
  </si>
  <si>
    <t xml:space="preserve">n = </t>
  </si>
  <si>
    <t xml:space="preserve">z = </t>
  </si>
  <si>
    <r>
      <t>D</t>
    </r>
    <r>
      <rPr>
        <b/>
        <sz val="10"/>
        <rFont val="Arial"/>
        <family val="2"/>
      </rPr>
      <t xml:space="preserve">z = </t>
    </r>
  </si>
  <si>
    <r>
      <t>s</t>
    </r>
    <r>
      <rPr>
        <b/>
        <sz val="10"/>
        <rFont val="Arial"/>
        <family val="2"/>
      </rPr>
      <t xml:space="preserve"> = </t>
    </r>
  </si>
  <si>
    <t>5.</t>
  </si>
  <si>
    <t xml:space="preserve">z =   </t>
  </si>
  <si>
    <t xml:space="preserve">P(z) =   </t>
  </si>
  <si>
    <t xml:space="preserve">Expected runs            E(r) =   </t>
  </si>
  <si>
    <t>6.</t>
  </si>
  <si>
    <t>7,8.</t>
  </si>
  <si>
    <t>b.</t>
  </si>
  <si>
    <t>4a.</t>
  </si>
  <si>
    <t>U</t>
  </si>
  <si>
    <t>Normal Distribution</t>
  </si>
  <si>
    <t xml:space="preserve">Mean = </t>
  </si>
  <si>
    <t xml:space="preserve">Std Dev = </t>
  </si>
  <si>
    <t xml:space="preserve">x = </t>
  </si>
  <si>
    <t xml:space="preserve">P(&lt;x) = </t>
  </si>
  <si>
    <t xml:space="preserve">P(&gt;x) = </t>
  </si>
  <si>
    <r>
      <t>D</t>
    </r>
    <r>
      <rPr>
        <b/>
        <sz val="10"/>
        <rFont val="Arial"/>
        <family val="2"/>
      </rPr>
      <t>x</t>
    </r>
    <r>
      <rPr>
        <b/>
        <sz val="10"/>
        <rFont val="Symbol"/>
        <family val="1"/>
      </rPr>
      <t xml:space="preserve"> = </t>
    </r>
  </si>
  <si>
    <t>1a.</t>
  </si>
  <si>
    <t xml:space="preserve">P(two tail) = </t>
  </si>
  <si>
    <t>3a.</t>
  </si>
  <si>
    <t>Normal Inverse</t>
  </si>
  <si>
    <t>9.</t>
  </si>
  <si>
    <t>Non centered</t>
  </si>
  <si>
    <t>Lower</t>
  </si>
  <si>
    <t>Ratio</t>
  </si>
  <si>
    <t>Upper</t>
  </si>
  <si>
    <r>
      <t>C</t>
    </r>
    <r>
      <rPr>
        <b/>
        <vertAlign val="subscript"/>
        <sz val="10"/>
        <rFont val="Arial"/>
        <family val="2"/>
      </rPr>
      <t>pk</t>
    </r>
  </si>
  <si>
    <t>Process</t>
  </si>
  <si>
    <t>All rights Reserved.</t>
  </si>
  <si>
    <t>See Instructions template for complete instructions.</t>
  </si>
  <si>
    <r>
      <t>Mean Control Chart (</t>
    </r>
    <r>
      <rPr>
        <u val="single"/>
        <sz val="10"/>
        <color indexed="12"/>
        <rFont val="Symbol"/>
        <family val="1"/>
      </rPr>
      <t>s</t>
    </r>
    <r>
      <rPr>
        <u val="single"/>
        <sz val="10"/>
        <color indexed="12"/>
        <rFont val="Arial"/>
        <family val="0"/>
      </rPr>
      <t xml:space="preserve"> known)</t>
    </r>
  </si>
  <si>
    <r>
      <t>Mean Control Chart (</t>
    </r>
    <r>
      <rPr>
        <u val="single"/>
        <sz val="10"/>
        <color indexed="12"/>
        <rFont val="Symbol"/>
        <family val="1"/>
      </rPr>
      <t>s</t>
    </r>
    <r>
      <rPr>
        <u val="single"/>
        <sz val="10"/>
        <color indexed="12"/>
        <rFont val="Arial"/>
        <family val="0"/>
      </rPr>
      <t xml:space="preserve"> unknown)</t>
    </r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</si>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</sst>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;;;"/>
    <numFmt numFmtId="167" formatCode="0.00_)"/>
    <numFmt numFmtId="168" formatCode="#,##0.000"/>
    <numFmt numFmtId="169" formatCode="0.0"/>
    <numFmt numFmtId="170" formatCode="0.000"/>
    <numFmt numFmtId="171" formatCode="0.0000"/>
    <numFmt numFmtId="172" formatCode="0.00000"/>
    <numFmt numFmtId="173" formatCode=".00%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0.000000"/>
    <numFmt numFmtId="178" formatCode="_(* #,##0.0_);_(* \(#,##0.0\);_(* &quot;-&quot;??_);_(@_)"/>
    <numFmt numFmtId="179" formatCode="_(* #,##0_);_(* \(#,##0\);_(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#,##0.0000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Symbol"/>
      <family val="1"/>
    </font>
    <font>
      <b/>
      <sz val="8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9.25"/>
      <name val="Symbol"/>
      <family val="1"/>
    </font>
    <font>
      <sz val="17.5"/>
      <name val="Arial"/>
      <family val="0"/>
    </font>
    <font>
      <b/>
      <u val="single"/>
      <sz val="10"/>
      <name val="Symbol"/>
      <family val="1"/>
    </font>
    <font>
      <b/>
      <sz val="9.75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0" xfId="0" applyAlignment="1" applyProtection="1" quotePrefix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 applyProtection="1" quotePrefix="1">
      <alignment horizontal="left"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 quotePrefix="1">
      <alignment horizontal="right"/>
      <protection hidden="1"/>
    </xf>
    <xf numFmtId="185" fontId="0" fillId="0" borderId="0" xfId="0" applyNumberFormat="1" applyAlignment="1" applyProtection="1">
      <alignment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71" fontId="0" fillId="0" borderId="0" xfId="0" applyNumberFormat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 quotePrefix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Alignment="1" applyProtection="1" quotePrefix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NumberFormat="1" applyFont="1" applyBorder="1" applyAlignment="1" applyProtection="1">
      <alignment horizontal="center"/>
      <protection hidden="1"/>
    </xf>
    <xf numFmtId="0" fontId="1" fillId="0" borderId="13" xfId="0" applyNumberFormat="1" applyFont="1" applyBorder="1" applyAlignment="1" applyProtection="1">
      <alignment horizontal="center"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15" xfId="0" applyNumberFormat="1" applyFont="1" applyBorder="1" applyAlignment="1" applyProtection="1">
      <alignment horizontal="center"/>
      <protection hidden="1"/>
    </xf>
    <xf numFmtId="0" fontId="1" fillId="0" borderId="16" xfId="0" applyNumberFormat="1" applyFont="1" applyBorder="1" applyAlignment="1" applyProtection="1">
      <alignment horizontal="center"/>
      <protection hidden="1"/>
    </xf>
    <xf numFmtId="0" fontId="1" fillId="0" borderId="17" xfId="0" applyNumberFormat="1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 quotePrefix="1">
      <alignment horizontal="center"/>
      <protection locked="0"/>
    </xf>
    <xf numFmtId="0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NumberFormat="1" applyFont="1" applyFill="1" applyBorder="1" applyAlignment="1" applyProtection="1" quotePrefix="1">
      <alignment horizontal="center"/>
      <protection locked="0"/>
    </xf>
    <xf numFmtId="0" fontId="1" fillId="2" borderId="6" xfId="0" applyNumberFormat="1" applyFont="1" applyFill="1" applyBorder="1" applyAlignment="1" applyProtection="1" quotePrefix="1">
      <alignment horizontal="center"/>
      <protection locked="0"/>
    </xf>
    <xf numFmtId="0" fontId="1" fillId="0" borderId="1" xfId="0" applyNumberFormat="1" applyFont="1" applyBorder="1" applyAlignment="1" applyProtection="1">
      <alignment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9" xfId="0" applyNumberFormat="1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21" xfId="0" applyNumberFormat="1" applyFont="1" applyBorder="1" applyAlignment="1" applyProtection="1">
      <alignment horizontal="right"/>
      <protection hidden="1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hidden="1"/>
    </xf>
    <xf numFmtId="0" fontId="1" fillId="0" borderId="23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20" xfId="0" applyNumberFormat="1" applyFont="1" applyFill="1" applyBorder="1" applyAlignment="1" applyProtection="1">
      <alignment horizontal="right"/>
      <protection hidden="1"/>
    </xf>
    <xf numFmtId="0" fontId="1" fillId="0" borderId="19" xfId="0" applyNumberFormat="1" applyFont="1" applyBorder="1" applyAlignment="1" applyProtection="1">
      <alignment horizontal="center"/>
      <protection hidden="1"/>
    </xf>
    <xf numFmtId="0" fontId="1" fillId="0" borderId="20" xfId="0" applyNumberFormat="1" applyFont="1" applyBorder="1" applyAlignment="1" applyProtection="1">
      <alignment horizontal="center"/>
      <protection hidden="1"/>
    </xf>
    <xf numFmtId="0" fontId="1" fillId="0" borderId="21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4" xfId="0" applyNumberFormat="1" applyFont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left"/>
      <protection hidden="1"/>
    </xf>
    <xf numFmtId="0" fontId="1" fillId="0" borderId="11" xfId="0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 horizontal="left"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" xfId="0" applyNumberFormat="1" applyFont="1" applyFill="1" applyBorder="1" applyAlignment="1" applyProtection="1" quotePrefix="1">
      <alignment horizontal="right"/>
      <protection hidden="1"/>
    </xf>
    <xf numFmtId="0" fontId="1" fillId="0" borderId="6" xfId="0" applyFont="1" applyFill="1" applyBorder="1" applyAlignment="1" applyProtection="1" quotePrefix="1">
      <alignment horizontal="right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8" xfId="0" applyFont="1" applyFill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6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Alignment="1" applyProtection="1">
      <alignment horizontal="right"/>
      <protection hidden="1"/>
    </xf>
    <xf numFmtId="0" fontId="1" fillId="0" borderId="11" xfId="0" applyNumberFormat="1" applyFont="1" applyFill="1" applyBorder="1" applyAlignment="1" applyProtection="1" quotePrefix="1">
      <alignment horizontal="right"/>
      <protection hidden="1"/>
    </xf>
    <xf numFmtId="0" fontId="1" fillId="0" borderId="5" xfId="0" applyFont="1" applyFill="1" applyBorder="1" applyAlignment="1" applyProtection="1" quotePrefix="1">
      <alignment horizontal="right"/>
      <protection hidden="1"/>
    </xf>
    <xf numFmtId="0" fontId="1" fillId="0" borderId="0" xfId="0" applyNumberFormat="1" applyFont="1" applyBorder="1" applyAlignment="1" applyProtection="1">
      <alignment/>
      <protection hidden="1"/>
    </xf>
    <xf numFmtId="0" fontId="1" fillId="0" borderId="25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171" fontId="1" fillId="0" borderId="26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1" fillId="0" borderId="21" xfId="0" applyFont="1" applyBorder="1" applyAlignment="1" applyProtection="1">
      <alignment horizontal="right"/>
      <protection hidden="1"/>
    </xf>
    <xf numFmtId="171" fontId="1" fillId="0" borderId="0" xfId="0" applyNumberFormat="1" applyFont="1" applyFill="1" applyBorder="1" applyAlignment="1" applyProtection="1">
      <alignment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19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24" xfId="0" applyNumberFormat="1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171" fontId="1" fillId="0" borderId="0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1" fillId="2" borderId="20" xfId="0" applyNumberFormat="1" applyFont="1" applyFill="1" applyBorder="1" applyAlignment="1" applyProtection="1">
      <alignment horizontal="center"/>
      <protection locked="0"/>
    </xf>
    <xf numFmtId="0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hidden="1"/>
    </xf>
    <xf numFmtId="0" fontId="1" fillId="0" borderId="18" xfId="0" applyNumberFormat="1" applyFont="1" applyFill="1" applyBorder="1" applyAlignment="1" applyProtection="1">
      <alignment horizontal="left"/>
      <protection hidden="1"/>
    </xf>
    <xf numFmtId="0" fontId="1" fillId="0" borderId="16" xfId="0" applyNumberFormat="1" applyFont="1" applyFill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left"/>
      <protection hidden="1"/>
    </xf>
    <xf numFmtId="0" fontId="1" fillId="0" borderId="18" xfId="0" applyNumberFormat="1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6" fillId="0" borderId="20" xfId="0" applyFont="1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right"/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11" xfId="0" applyFont="1" applyFill="1" applyBorder="1" applyAlignment="1" applyProtection="1">
      <alignment horizontal="right"/>
      <protection hidden="1"/>
    </xf>
    <xf numFmtId="0" fontId="6" fillId="0" borderId="5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1" fillId="2" borderId="6" xfId="0" applyFont="1" applyFill="1" applyBorder="1" applyAlignment="1" applyProtection="1">
      <alignment horizontal="center"/>
      <protection hidden="1"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3" xfId="0" applyNumberFormat="1" applyFont="1" applyFill="1" applyBorder="1" applyAlignment="1" applyProtection="1">
      <alignment horizontal="center"/>
      <protection hidden="1"/>
    </xf>
    <xf numFmtId="0" fontId="1" fillId="0" borderId="16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 quotePrefix="1">
      <alignment horizontal="center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16" xfId="0" applyNumberFormat="1" applyFont="1" applyFill="1" applyBorder="1" applyAlignment="1" applyProtection="1" quotePrefix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hidden="1" locked="0"/>
    </xf>
    <xf numFmtId="0" fontId="1" fillId="2" borderId="1" xfId="0" applyFont="1" applyFill="1" applyBorder="1" applyAlignment="1" applyProtection="1">
      <alignment horizontal="center"/>
      <protection hidden="1" locked="0"/>
    </xf>
    <xf numFmtId="0" fontId="18" fillId="0" borderId="0" xfId="20" applyAlignment="1" applyProtection="1">
      <alignment horizontal="left"/>
      <protection hidden="1"/>
    </xf>
    <xf numFmtId="0" fontId="18" fillId="0" borderId="0" xfId="20" applyAlignment="1" applyProtection="1">
      <alignment/>
      <protection hidden="1"/>
    </xf>
    <xf numFmtId="0" fontId="18" fillId="0" borderId="0" xfId="20" applyAlignment="1">
      <alignment/>
    </xf>
    <xf numFmtId="0" fontId="18" fillId="0" borderId="0" xfId="20" applyAlignment="1" applyProtection="1">
      <alignment/>
      <protection locked="0"/>
    </xf>
    <xf numFmtId="0" fontId="18" fillId="0" borderId="0" xfId="2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79"/>
          <c:w val="0.95225"/>
          <c:h val="0.873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Normal!$E$4:$E$16</c:f>
              <c:numCache>
                <c:ptCount val="13"/>
                <c:pt idx="0">
                  <c:v>-3.5</c:v>
                </c:pt>
                <c:pt idx="1">
                  <c:v>-2.8</c:v>
                </c:pt>
                <c:pt idx="2">
                  <c:v>-2.0999999999999996</c:v>
                </c:pt>
                <c:pt idx="3">
                  <c:v>-1.3999999999999995</c:v>
                </c:pt>
                <c:pt idx="4">
                  <c:v>-0.6999999999999994</c:v>
                </c:pt>
                <c:pt idx="5">
                  <c:v>0</c:v>
                </c:pt>
                <c:pt idx="6">
                  <c:v>0.7000000000000001</c:v>
                </c:pt>
                <c:pt idx="7">
                  <c:v>1.4000000000000001</c:v>
                </c:pt>
                <c:pt idx="8">
                  <c:v>2.1</c:v>
                </c:pt>
                <c:pt idx="9">
                  <c:v>2.8000000000000003</c:v>
                </c:pt>
                <c:pt idx="10">
                  <c:v>3.5000000000000004</c:v>
                </c:pt>
                <c:pt idx="11">
                  <c:v>3.011403756035119</c:v>
                </c:pt>
                <c:pt idx="12">
                  <c:v>3.011403756035119</c:v>
                </c:pt>
              </c:numCache>
            </c:numRef>
          </c:xVal>
          <c:yVal>
            <c:numRef>
              <c:f>Normal!$F$4:$F$16</c:f>
              <c:numCache>
                <c:ptCount val="13"/>
                <c:pt idx="0">
                  <c:v>0.0008726826950457599</c:v>
                </c:pt>
                <c:pt idx="1">
                  <c:v>0.007915451582979967</c:v>
                </c:pt>
                <c:pt idx="2">
                  <c:v>0.043983595980427226</c:v>
                </c:pt>
                <c:pt idx="3">
                  <c:v>0.14972746563574496</c:v>
                </c:pt>
                <c:pt idx="4">
                  <c:v>0.3122539333667614</c:v>
                </c:pt>
                <c:pt idx="5">
                  <c:v>0.39894228040143265</c:v>
                </c:pt>
                <c:pt idx="6">
                  <c:v>0.3122539333667612</c:v>
                </c:pt>
                <c:pt idx="7">
                  <c:v>0.14972746563574482</c:v>
                </c:pt>
                <c:pt idx="8">
                  <c:v>0.043983595980427184</c:v>
                </c:pt>
                <c:pt idx="9">
                  <c:v>0.007915451582979956</c:v>
                </c:pt>
                <c:pt idx="10">
                  <c:v>0.0008726826950457584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Normal!$E$4:$E$16</c:f>
              <c:numCache>
                <c:ptCount val="13"/>
                <c:pt idx="0">
                  <c:v>-3.5</c:v>
                </c:pt>
                <c:pt idx="1">
                  <c:v>-2.8</c:v>
                </c:pt>
                <c:pt idx="2">
                  <c:v>-2.0999999999999996</c:v>
                </c:pt>
                <c:pt idx="3">
                  <c:v>-1.3999999999999995</c:v>
                </c:pt>
                <c:pt idx="4">
                  <c:v>-0.6999999999999994</c:v>
                </c:pt>
                <c:pt idx="5">
                  <c:v>0</c:v>
                </c:pt>
                <c:pt idx="6">
                  <c:v>0.7000000000000001</c:v>
                </c:pt>
                <c:pt idx="7">
                  <c:v>1.4000000000000001</c:v>
                </c:pt>
                <c:pt idx="8">
                  <c:v>2.1</c:v>
                </c:pt>
                <c:pt idx="9">
                  <c:v>2.8000000000000003</c:v>
                </c:pt>
                <c:pt idx="10">
                  <c:v>3.5000000000000004</c:v>
                </c:pt>
                <c:pt idx="11">
                  <c:v>3.011403756035119</c:v>
                </c:pt>
                <c:pt idx="12">
                  <c:v>3.011403756035119</c:v>
                </c:pt>
              </c:numCache>
            </c:numRef>
          </c:xVal>
          <c:yVal>
            <c:numRef>
              <c:f>Normal!$G$4:$G$16</c:f>
              <c:numCache>
                <c:ptCount val="13"/>
                <c:pt idx="11">
                  <c:v>0</c:v>
                </c:pt>
                <c:pt idx="12">
                  <c:v>0.39894228040143265</c:v>
                </c:pt>
              </c:numCache>
            </c:numRef>
          </c:yVal>
          <c:smooth val="1"/>
        </c:ser>
        <c:axId val="51061361"/>
        <c:axId val="56899066"/>
      </c:scatterChart>
      <c:valAx>
        <c:axId val="5106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899066"/>
        <c:crosses val="autoZero"/>
        <c:crossBetween val="midCat"/>
        <c:dispUnits/>
      </c:valAx>
      <c:valAx>
        <c:axId val="56899066"/>
        <c:scaling>
          <c:orientation val="minMax"/>
        </c:scaling>
        <c:axPos val="l"/>
        <c:delete val="1"/>
        <c:majorTickMark val="in"/>
        <c:minorTickMark val="none"/>
        <c:tickLblPos val="nextTo"/>
        <c:crossAx val="51061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Mean Contol Chart (</a:t>
            </a:r>
            <a:r>
              <a:rPr lang="en-US" cap="none" sz="925" b="1" i="0" u="none" baseline="0"/>
              <a:t>s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known)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925"/>
          <c:w val="0.542"/>
          <c:h val="0.92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'Mean Chart (1)'!$G$4</c:f>
              <c:strCache>
                <c:ptCount val="1"/>
                <c:pt idx="0">
                  <c:v>UCL = 12.1368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(1)'!$E$5:$E$6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(1)'!$G$5:$G$6</c:f>
              <c:numCache>
                <c:ptCount val="2"/>
                <c:pt idx="0">
                  <c:v>12.136832815729997</c:v>
                </c:pt>
                <c:pt idx="1">
                  <c:v>12.136832815729997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'Mean Chart (1)'!$H$4</c:f>
              <c:strCache>
                <c:ptCount val="1"/>
                <c:pt idx="0">
                  <c:v>AVE = 12.1100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(1)'!$E$5:$E$6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(1)'!$H$5:$H$6</c:f>
              <c:numCache>
                <c:ptCount val="2"/>
                <c:pt idx="0">
                  <c:v>12.11</c:v>
                </c:pt>
                <c:pt idx="1">
                  <c:v>12.11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'Mean Chart (1)'!$I$4</c:f>
              <c:strCache>
                <c:ptCount val="1"/>
                <c:pt idx="0">
                  <c:v>LCL = 12.0832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(1)'!$E$5:$E$6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(1)'!$I$5:$I$6</c:f>
              <c:numCache>
                <c:ptCount val="2"/>
                <c:pt idx="0">
                  <c:v>12.083167184270001</c:v>
                </c:pt>
                <c:pt idx="1">
                  <c:v>12.083167184270001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(1)'!$E$5:$E$6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(1)'!$J$5:$J$6</c:f>
              <c:numCache>
                <c:ptCount val="2"/>
                <c:pt idx="0">
                  <c:v>12.074222912360003</c:v>
                </c:pt>
                <c:pt idx="1">
                  <c:v>12.074222912360003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(1)'!$E$5:$E$6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(1)'!$F$5:$F$6</c:f>
              <c:numCache>
                <c:ptCount val="2"/>
                <c:pt idx="0">
                  <c:v>12.145777087639996</c:v>
                </c:pt>
                <c:pt idx="1">
                  <c:v>12.145777087639996</c:v>
                </c:pt>
              </c:numCache>
            </c:numRef>
          </c:yVal>
          <c:smooth val="0"/>
        </c:ser>
        <c:ser>
          <c:idx val="5"/>
          <c:order val="5"/>
          <c:tx>
            <c:v>Sample Means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'Mean Chart (1)'!$B$17:$B$56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'Mean Chart (1)'!$C$17:$C$56</c:f>
              <c:numCache>
                <c:ptCount val="40"/>
                <c:pt idx="0">
                  <c:v>12.1</c:v>
                </c:pt>
                <c:pt idx="1">
                  <c:v>12.12</c:v>
                </c:pt>
                <c:pt idx="2">
                  <c:v>12.11</c:v>
                </c:pt>
                <c:pt idx="3">
                  <c:v>12.1</c:v>
                </c:pt>
                <c:pt idx="4">
                  <c:v>12.12</c:v>
                </c:pt>
              </c:numCache>
            </c:numRef>
          </c:yVal>
          <c:smooth val="0"/>
        </c:ser>
        <c:axId val="42329547"/>
        <c:axId val="45421604"/>
      </c:scatterChart>
      <c:valAx>
        <c:axId val="42329547"/>
        <c:scaling>
          <c:orientation val="minMax"/>
          <c:max val="21"/>
        </c:scaling>
        <c:axPos val="b"/>
        <c:delete val="0"/>
        <c:numFmt formatCode="General" sourceLinked="1"/>
        <c:majorTickMark val="none"/>
        <c:minorTickMark val="none"/>
        <c:tickLblPos val="none"/>
        <c:crossAx val="45421604"/>
        <c:crosses val="autoZero"/>
        <c:crossBetween val="midCat"/>
        <c:dispUnits/>
      </c:valAx>
      <c:valAx>
        <c:axId val="45421604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42329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0225"/>
          <c:y val="0.28075"/>
          <c:w val="0.389"/>
          <c:h val="0.40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Mean Contol Chart (</a:t>
            </a:r>
            <a:r>
              <a:rPr lang="en-US" cap="none" sz="1000" b="1" i="0" u="none" baseline="0"/>
              <a:t>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unknown)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325"/>
          <c:w val="0.5742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'Mean Chart (2)'!$G$4</c:f>
              <c:strCache>
                <c:ptCount val="1"/>
                <c:pt idx="0">
                  <c:v>UCL = 3.0059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(2)'!$E$5:$E$6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(2)'!$G$5:$G$6</c:f>
              <c:numCache>
                <c:ptCount val="2"/>
                <c:pt idx="0">
                  <c:v>3.00592</c:v>
                </c:pt>
                <c:pt idx="1">
                  <c:v>3.00592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'Mean Chart (2)'!$H$4</c:f>
              <c:strCache>
                <c:ptCount val="1"/>
                <c:pt idx="0">
                  <c:v>AVE = 3.0000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(2)'!$E$5:$E$6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(2)'!$H$5:$H$6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'Mean Chart (2)'!$I$4</c:f>
              <c:strCache>
                <c:ptCount val="1"/>
                <c:pt idx="0">
                  <c:v>LCL = 2.9941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Chart (2)'!$E$5:$E$6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'Mean Chart (2)'!$I$5:$I$6</c:f>
              <c:numCache>
                <c:ptCount val="2"/>
                <c:pt idx="0">
                  <c:v>2.99408</c:v>
                </c:pt>
                <c:pt idx="1">
                  <c:v>2.99408</c:v>
                </c:pt>
              </c:numCache>
            </c:numRef>
          </c:yVal>
          <c:smooth val="0"/>
        </c:ser>
        <c:ser>
          <c:idx val="5"/>
          <c:order val="3"/>
          <c:tx>
            <c:v>Sample Means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'Mean Chart (2)'!$B$15:$B$34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'Mean Chart (2)'!$C$15:$C$34</c:f>
              <c:numCache>
                <c:ptCount val="20"/>
              </c:numCache>
            </c:numRef>
          </c:yVal>
          <c:smooth val="0"/>
        </c:ser>
        <c:axId val="6141253"/>
        <c:axId val="55271278"/>
      </c:scatterChart>
      <c:valAx>
        <c:axId val="6141253"/>
        <c:scaling>
          <c:orientation val="minMax"/>
          <c:max val="21"/>
        </c:scaling>
        <c:axPos val="b"/>
        <c:delete val="0"/>
        <c:numFmt formatCode="General" sourceLinked="1"/>
        <c:majorTickMark val="none"/>
        <c:minorTickMark val="none"/>
        <c:tickLblPos val="none"/>
        <c:crossAx val="55271278"/>
        <c:crosses val="autoZero"/>
        <c:crossBetween val="midCat"/>
        <c:dispUnits/>
      </c:valAx>
      <c:valAx>
        <c:axId val="55271278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8"/>
          <c:y val="0.28075"/>
          <c:w val="0.3665"/>
          <c:h val="0.40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Range Contol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81"/>
          <c:w val="0.568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'Range Chart'!$G$4</c:f>
              <c:strCache>
                <c:ptCount val="1"/>
                <c:pt idx="0">
                  <c:v>UCL = 0.0178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'Range Chart'!$G$5:$G$6</c:f>
              <c:numCache>
                <c:ptCount val="2"/>
                <c:pt idx="0">
                  <c:v>0.0178</c:v>
                </c:pt>
                <c:pt idx="1">
                  <c:v>0.0178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'Range Chart'!$H$4</c:f>
              <c:strCache>
                <c:ptCount val="1"/>
                <c:pt idx="0">
                  <c:v>AVE = 0.0100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'Range Chart'!$H$5:$H$6</c:f>
              <c:numCache>
                <c:ptCount val="2"/>
                <c:pt idx="0">
                  <c:v>0.01</c:v>
                </c:pt>
                <c:pt idx="1">
                  <c:v>0.01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'Range Chart'!$I$4</c:f>
              <c:strCache>
                <c:ptCount val="1"/>
                <c:pt idx="0">
                  <c:v>LCL = 0.0022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'Range 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'Range Chart'!$I$5:$I$6</c:f>
              <c:numCache>
                <c:ptCount val="2"/>
                <c:pt idx="0">
                  <c:v>0.0022</c:v>
                </c:pt>
                <c:pt idx="1">
                  <c:v>0.0022</c:v>
                </c:pt>
              </c:numCache>
            </c:numRef>
          </c:yVal>
          <c:smooth val="0"/>
        </c:ser>
        <c:ser>
          <c:idx val="5"/>
          <c:order val="3"/>
          <c:tx>
            <c:v>Sample Ranges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'Range Chart'!$B$15:$B$34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'Range Chart'!$C$15:$C$34</c:f>
              <c:numCache>
                <c:ptCount val="20"/>
              </c:numCache>
            </c:numRef>
          </c:yVal>
          <c:smooth val="0"/>
        </c:ser>
        <c:axId val="27679455"/>
        <c:axId val="47788504"/>
      </c:scatterChart>
      <c:valAx>
        <c:axId val="27679455"/>
        <c:scaling>
          <c:orientation val="minMax"/>
          <c:max val="21"/>
        </c:scaling>
        <c:axPos val="b"/>
        <c:delete val="0"/>
        <c:numFmt formatCode="General" sourceLinked="1"/>
        <c:majorTickMark val="none"/>
        <c:minorTickMark val="none"/>
        <c:tickLblPos val="none"/>
        <c:crossAx val="47788504"/>
        <c:crosses val="autoZero"/>
        <c:crossBetween val="midCat"/>
        <c:dispUnits/>
      </c:valAx>
      <c:valAx>
        <c:axId val="47788504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"/>
          <c:y val="0.27975"/>
          <c:w val="0.36925"/>
          <c:h val="0.41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p-Chart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2"/>
          <c:w val="0.5627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'p-Chart'!$G$4</c:f>
              <c:strCache>
                <c:ptCount val="1"/>
                <c:pt idx="0">
                  <c:v>UCL = 0.2039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'p-Chart'!$G$5:$G$6</c:f>
              <c:numCache>
                <c:ptCount val="2"/>
                <c:pt idx="0">
                  <c:v>0.2038669270829721</c:v>
                </c:pt>
                <c:pt idx="1">
                  <c:v>0.2038669270829721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'p-Chart'!$H$4</c:f>
              <c:strCache>
                <c:ptCount val="1"/>
                <c:pt idx="0">
                  <c:v>AVE = 0.1100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'p-Chart'!$H$5:$H$6</c:f>
              <c:numCache>
                <c:ptCount val="2"/>
                <c:pt idx="0">
                  <c:v>0.11</c:v>
                </c:pt>
                <c:pt idx="1">
                  <c:v>0.11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'p-Chart'!$I$4</c:f>
              <c:strCache>
                <c:ptCount val="1"/>
                <c:pt idx="0">
                  <c:v>LCL = 0.0161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'p-Chart'!$I$5:$I$6</c:f>
              <c:numCache>
                <c:ptCount val="2"/>
                <c:pt idx="0">
                  <c:v>0.01613307291702791</c:v>
                </c:pt>
                <c:pt idx="1">
                  <c:v>0.01613307291702791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'p-Chart'!$J$5:$J$6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'p-Chart'!$F$5:$F$6</c:f>
              <c:numCache>
                <c:ptCount val="2"/>
                <c:pt idx="0">
                  <c:v>0.23515590277729614</c:v>
                </c:pt>
                <c:pt idx="1">
                  <c:v>0.23515590277729614</c:v>
                </c:pt>
              </c:numCache>
            </c:numRef>
          </c:yVal>
          <c:smooth val="0"/>
        </c:ser>
        <c:ser>
          <c:idx val="5"/>
          <c:order val="5"/>
          <c:tx>
            <c:v>Sample p's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'p-Chart'!$B$17:$B$36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'p-Chart'!$C$17:$C$36</c:f>
              <c:numCache>
                <c:ptCount val="20"/>
                <c:pt idx="0">
                  <c:v>0.04</c:v>
                </c:pt>
                <c:pt idx="1">
                  <c:v>0.1</c:v>
                </c:pt>
                <c:pt idx="2">
                  <c:v>0.12</c:v>
                </c:pt>
                <c:pt idx="3">
                  <c:v>0.03</c:v>
                </c:pt>
                <c:pt idx="4">
                  <c:v>0.09</c:v>
                </c:pt>
                <c:pt idx="5">
                  <c:v>0.11</c:v>
                </c:pt>
                <c:pt idx="6">
                  <c:v>0.1</c:v>
                </c:pt>
                <c:pt idx="7">
                  <c:v>0.22</c:v>
                </c:pt>
                <c:pt idx="8">
                  <c:v>0.13</c:v>
                </c:pt>
                <c:pt idx="9">
                  <c:v>0.1</c:v>
                </c:pt>
                <c:pt idx="10">
                  <c:v>0.08</c:v>
                </c:pt>
                <c:pt idx="11">
                  <c:v>0.12</c:v>
                </c:pt>
                <c:pt idx="12">
                  <c:v>0.09</c:v>
                </c:pt>
                <c:pt idx="13">
                  <c:v>0.1</c:v>
                </c:pt>
                <c:pt idx="14">
                  <c:v>0.21</c:v>
                </c:pt>
                <c:pt idx="15">
                  <c:v>0.1</c:v>
                </c:pt>
                <c:pt idx="16">
                  <c:v>0.08</c:v>
                </c:pt>
                <c:pt idx="17">
                  <c:v>0.12</c:v>
                </c:pt>
                <c:pt idx="18">
                  <c:v>0.1</c:v>
                </c:pt>
                <c:pt idx="19">
                  <c:v>0.16</c:v>
                </c:pt>
              </c:numCache>
            </c:numRef>
          </c:yVal>
          <c:smooth val="0"/>
        </c:ser>
        <c:axId val="27443353"/>
        <c:axId val="45663586"/>
      </c:scatterChart>
      <c:valAx>
        <c:axId val="27443353"/>
        <c:scaling>
          <c:orientation val="minMax"/>
          <c:max val="21"/>
        </c:scaling>
        <c:axPos val="b"/>
        <c:delete val="0"/>
        <c:numFmt formatCode="General" sourceLinked="1"/>
        <c:majorTickMark val="none"/>
        <c:minorTickMark val="none"/>
        <c:tickLblPos val="none"/>
        <c:crossAx val="45663586"/>
        <c:crosses val="autoZero"/>
        <c:crossBetween val="midCat"/>
        <c:dispUnits/>
      </c:valAx>
      <c:valAx>
        <c:axId val="45663586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7443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115"/>
          <c:y val="0.36875"/>
          <c:w val="0.37725"/>
          <c:h val="0.229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c-Chart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45"/>
          <c:w val="0.554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'c-Chart'!$G$4</c:f>
              <c:strCache>
                <c:ptCount val="1"/>
                <c:pt idx="0">
                  <c:v>UCL = 7.2434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'c-Chart'!$G$5:$G$6</c:f>
              <c:numCache>
                <c:ptCount val="2"/>
                <c:pt idx="0">
                  <c:v>7.243416490252569</c:v>
                </c:pt>
                <c:pt idx="1">
                  <c:v>7.243416490252569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'c-Chart'!$H$4</c:f>
              <c:strCache>
                <c:ptCount val="1"/>
                <c:pt idx="0">
                  <c:v>AVE = 2.5000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'c-Chart'!$H$5:$H$6</c:f>
              <c:numCach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'c-Chart'!$I$4</c:f>
              <c:strCache>
                <c:ptCount val="1"/>
                <c:pt idx="0">
                  <c:v>LCL = 0.0000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'c-Chart'!$I$5:$I$6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'c-Chart'!$J$5:$J$6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'c-Chart'!$E$5:$E$6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'c-Chart'!$F$5:$F$6</c:f>
              <c:numCache>
                <c:ptCount val="2"/>
                <c:pt idx="0">
                  <c:v>8.82455532033676</c:v>
                </c:pt>
                <c:pt idx="1">
                  <c:v>8.82455532033676</c:v>
                </c:pt>
              </c:numCache>
            </c:numRef>
          </c:yVal>
          <c:smooth val="0"/>
        </c:ser>
        <c:ser>
          <c:idx val="5"/>
          <c:order val="5"/>
          <c:tx>
            <c:v>Sample c's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'c-Chart'!$B$17:$B$36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'c-Chart'!$C$17:$C$36</c:f>
              <c:numCache>
                <c:ptCount val="20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</c:numCache>
            </c:numRef>
          </c:yVal>
          <c:smooth val="0"/>
        </c:ser>
        <c:axId val="8319091"/>
        <c:axId val="7762956"/>
      </c:scatterChart>
      <c:valAx>
        <c:axId val="8319091"/>
        <c:scaling>
          <c:orientation val="minMax"/>
          <c:max val="21"/>
        </c:scaling>
        <c:axPos val="b"/>
        <c:delete val="0"/>
        <c:numFmt formatCode="General" sourceLinked="1"/>
        <c:majorTickMark val="none"/>
        <c:minorTickMark val="none"/>
        <c:tickLblPos val="none"/>
        <c:crossAx val="7762956"/>
        <c:crosses val="autoZero"/>
        <c:crossBetween val="midCat"/>
        <c:dispUnits/>
      </c:valAx>
      <c:valAx>
        <c:axId val="7762956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8319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865"/>
          <c:y val="0.36675"/>
          <c:w val="0.40175"/>
          <c:h val="0.228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Runs Tests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305"/>
          <c:w val="0.9545"/>
          <c:h val="0.7695"/>
        </c:manualLayout>
      </c:layout>
      <c:scatterChart>
        <c:scatterStyle val="lineMarker"/>
        <c:varyColors val="0"/>
        <c:ser>
          <c:idx val="1"/>
          <c:order val="0"/>
          <c:tx>
            <c:strRef>
              <c:f>'Runs Tests'!$F$4</c:f>
              <c:strCache>
                <c:ptCount val="1"/>
                <c:pt idx="0">
                  <c:v>Median = 11.0000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'Runs Tests'!$E$5:$E$6</c:f>
              <c:numCache>
                <c:ptCount val="2"/>
                <c:pt idx="0">
                  <c:v>1</c:v>
                </c:pt>
                <c:pt idx="1">
                  <c:v>20</c:v>
                </c:pt>
              </c:numCache>
            </c:numRef>
          </c:xVal>
          <c:yVal>
            <c:numRef>
              <c:f>'Runs Tests'!$F$5:$F$6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yVal>
          <c:smooth val="0"/>
        </c:ser>
        <c:ser>
          <c:idx val="5"/>
          <c:order val="1"/>
          <c:tx>
            <c:v>Sample Means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'Runs Tests'!$A$16:$A$75</c:f>
              <c:num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'Runs Tests'!$B$16:$B$75</c:f>
              <c:numCache>
                <c:ptCount val="60"/>
                <c:pt idx="0">
                  <c:v>10</c:v>
                </c:pt>
                <c:pt idx="1">
                  <c:v>10.4</c:v>
                </c:pt>
                <c:pt idx="2">
                  <c:v>10.2</c:v>
                </c:pt>
                <c:pt idx="3">
                  <c:v>11.5</c:v>
                </c:pt>
                <c:pt idx="4">
                  <c:v>10.8</c:v>
                </c:pt>
                <c:pt idx="5">
                  <c:v>11.6</c:v>
                </c:pt>
                <c:pt idx="6">
                  <c:v>11.1</c:v>
                </c:pt>
                <c:pt idx="7">
                  <c:v>11.2</c:v>
                </c:pt>
                <c:pt idx="8">
                  <c:v>10.6</c:v>
                </c:pt>
                <c:pt idx="9">
                  <c:v>10.9</c:v>
                </c:pt>
                <c:pt idx="10">
                  <c:v>10.7</c:v>
                </c:pt>
                <c:pt idx="11">
                  <c:v>11.3</c:v>
                </c:pt>
                <c:pt idx="12">
                  <c:v>10.8</c:v>
                </c:pt>
                <c:pt idx="13">
                  <c:v>11.8</c:v>
                </c:pt>
                <c:pt idx="14">
                  <c:v>11.2</c:v>
                </c:pt>
                <c:pt idx="15">
                  <c:v>11.6</c:v>
                </c:pt>
                <c:pt idx="16">
                  <c:v>11.2</c:v>
                </c:pt>
                <c:pt idx="17">
                  <c:v>10.6</c:v>
                </c:pt>
                <c:pt idx="18">
                  <c:v>10.7</c:v>
                </c:pt>
                <c:pt idx="19">
                  <c:v>11.9</c:v>
                </c:pt>
              </c:numCache>
            </c:numRef>
          </c:yVal>
          <c:smooth val="0"/>
        </c:ser>
        <c:axId val="2757741"/>
        <c:axId val="24819670"/>
      </c:scatterChart>
      <c:valAx>
        <c:axId val="2757741"/>
        <c:scaling>
          <c:orientation val="minMax"/>
          <c:max val="21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24819670"/>
        <c:crosses val="autoZero"/>
        <c:crossBetween val="midCat"/>
        <c:dispUnits/>
      </c:valAx>
      <c:valAx>
        <c:axId val="24819670"/>
        <c:scaling>
          <c:orientation val="minMax"/>
        </c:scaling>
        <c:axPos val="l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757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8.emf" /><Relationship Id="rId3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57150</xdr:rowOff>
    </xdr:from>
    <xdr:to>
      <xdr:col>9</xdr:col>
      <xdr:colOff>523875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2771775" y="57150"/>
        <a:ext cx="42386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6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667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66675</xdr:rowOff>
    </xdr:from>
    <xdr:to>
      <xdr:col>9</xdr:col>
      <xdr:colOff>561975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3609975" y="66675"/>
        <a:ext cx="3390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19050</xdr:colOff>
      <xdr:row>5</xdr:row>
      <xdr:rowOff>0</xdr:rowOff>
    </xdr:from>
    <xdr:to>
      <xdr:col>4</xdr:col>
      <xdr:colOff>171450</xdr:colOff>
      <xdr:row>7</xdr:row>
      <xdr:rowOff>9525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81915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28575</xdr:rowOff>
    </xdr:from>
    <xdr:to>
      <xdr:col>3</xdr:col>
      <xdr:colOff>552450</xdr:colOff>
      <xdr:row>1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28575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95250</xdr:rowOff>
    </xdr:from>
    <xdr:to>
      <xdr:col>9</xdr:col>
      <xdr:colOff>561975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3429000" y="95250"/>
        <a:ext cx="36195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0</xdr:row>
      <xdr:rowOff>38100</xdr:rowOff>
    </xdr:from>
    <xdr:to>
      <xdr:col>3</xdr:col>
      <xdr:colOff>552450</xdr:colOff>
      <xdr:row>1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38100"/>
          <a:ext cx="542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104775</xdr:rowOff>
    </xdr:from>
    <xdr:to>
      <xdr:col>9</xdr:col>
      <xdr:colOff>561975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3429000" y="104775"/>
        <a:ext cx="36195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0</xdr:row>
      <xdr:rowOff>38100</xdr:rowOff>
    </xdr:from>
    <xdr:to>
      <xdr:col>3</xdr:col>
      <xdr:colOff>552450</xdr:colOff>
      <xdr:row>1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3810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38100</xdr:rowOff>
    </xdr:from>
    <xdr:to>
      <xdr:col>9</xdr:col>
      <xdr:colOff>542925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3609975" y="38100"/>
        <a:ext cx="3419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0</xdr:row>
      <xdr:rowOff>47625</xdr:rowOff>
    </xdr:from>
    <xdr:to>
      <xdr:col>3</xdr:col>
      <xdr:colOff>552450</xdr:colOff>
      <xdr:row>1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4762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</xdr:row>
      <xdr:rowOff>152400</xdr:rowOff>
    </xdr:from>
    <xdr:to>
      <xdr:col>4</xdr:col>
      <xdr:colOff>171450</xdr:colOff>
      <xdr:row>7</xdr:row>
      <xdr:rowOff>0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0962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104775</xdr:rowOff>
    </xdr:from>
    <xdr:to>
      <xdr:col>9</xdr:col>
      <xdr:colOff>466725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619500" y="104775"/>
        <a:ext cx="33337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19050</xdr:colOff>
      <xdr:row>5</xdr:row>
      <xdr:rowOff>9525</xdr:rowOff>
    </xdr:from>
    <xdr:to>
      <xdr:col>4</xdr:col>
      <xdr:colOff>171450</xdr:colOff>
      <xdr:row>7</xdr:row>
      <xdr:rowOff>19050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82867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47625</xdr:rowOff>
    </xdr:from>
    <xdr:to>
      <xdr:col>3</xdr:col>
      <xdr:colOff>552450</xdr:colOff>
      <xdr:row>1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4762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123825</xdr:rowOff>
    </xdr:from>
    <xdr:to>
      <xdr:col>9</xdr:col>
      <xdr:colOff>581025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3467100" y="123825"/>
        <a:ext cx="3600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0</xdr:row>
      <xdr:rowOff>38100</xdr:rowOff>
    </xdr:from>
    <xdr:to>
      <xdr:col>3</xdr:col>
      <xdr:colOff>552450</xdr:colOff>
      <xdr:row>1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3810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38100</xdr:rowOff>
    </xdr:from>
    <xdr:to>
      <xdr:col>3</xdr:col>
      <xdr:colOff>552450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\IRWIN\Current\Chap1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ter 10"/>
      <sheetName val="Outline"/>
      <sheetName val="Figures"/>
      <sheetName val="Mean"/>
      <sheetName val="Mean Chart (1)"/>
      <sheetName val="Mean Chart (2)"/>
      <sheetName val="Range Chart"/>
      <sheetName val="p-Chart"/>
      <sheetName val="c-Chart"/>
      <sheetName val="Runs Tests"/>
      <sheetName val="Process Capability"/>
      <sheetName val="Acceptance Sampling"/>
      <sheetName val="Calculations"/>
      <sheetName val="Sheet1"/>
      <sheetName val="T10-1"/>
      <sheetName val="Tables"/>
      <sheetName val="Data"/>
    </sheetNames>
    <sheetDataSet>
      <sheetData sheetId="4">
        <row r="3">
          <cell r="C3">
            <v>12.11</v>
          </cell>
        </row>
        <row r="4">
          <cell r="C4">
            <v>0.02</v>
          </cell>
        </row>
        <row r="5">
          <cell r="C5">
            <v>5</v>
          </cell>
        </row>
        <row r="6">
          <cell r="C6">
            <v>3</v>
          </cell>
        </row>
        <row r="14">
          <cell r="B14">
            <v>12.1</v>
          </cell>
        </row>
        <row r="15">
          <cell r="B15">
            <v>12.12</v>
          </cell>
        </row>
        <row r="16">
          <cell r="B16">
            <v>12.11</v>
          </cell>
        </row>
        <row r="17">
          <cell r="B17">
            <v>12.1</v>
          </cell>
        </row>
        <row r="18">
          <cell r="B18">
            <v>12.12</v>
          </cell>
        </row>
      </sheetData>
      <sheetData sheetId="5">
        <row r="3">
          <cell r="C3">
            <v>10.04</v>
          </cell>
        </row>
        <row r="4">
          <cell r="C4">
            <v>0.52</v>
          </cell>
        </row>
        <row r="5">
          <cell r="C5">
            <v>5</v>
          </cell>
        </row>
        <row r="13">
          <cell r="B13">
            <v>10</v>
          </cell>
          <cell r="C13">
            <v>0.3999999999999986</v>
          </cell>
        </row>
        <row r="14">
          <cell r="B14">
            <v>10.1</v>
          </cell>
          <cell r="C14">
            <v>0.6</v>
          </cell>
        </row>
        <row r="15">
          <cell r="B15">
            <v>9.9</v>
          </cell>
          <cell r="C15">
            <v>0.4</v>
          </cell>
        </row>
        <row r="16">
          <cell r="B16">
            <v>10.2</v>
          </cell>
          <cell r="C16">
            <v>0.6</v>
          </cell>
        </row>
        <row r="17">
          <cell r="B17">
            <v>10</v>
          </cell>
          <cell r="C17">
            <v>0.6000000000000014</v>
          </cell>
        </row>
      </sheetData>
      <sheetData sheetId="6">
        <row r="4">
          <cell r="C4">
            <v>0.52</v>
          </cell>
        </row>
        <row r="5">
          <cell r="C5">
            <v>4</v>
          </cell>
        </row>
        <row r="13">
          <cell r="B13">
            <v>0.4</v>
          </cell>
        </row>
        <row r="14">
          <cell r="B14">
            <v>0.6</v>
          </cell>
        </row>
        <row r="15">
          <cell r="B15">
            <v>0.4</v>
          </cell>
        </row>
        <row r="16">
          <cell r="B16">
            <v>0.6</v>
          </cell>
        </row>
        <row r="17">
          <cell r="B17">
            <v>0.6</v>
          </cell>
        </row>
      </sheetData>
      <sheetData sheetId="7">
        <row r="4">
          <cell r="C4">
            <v>0.11</v>
          </cell>
        </row>
        <row r="5">
          <cell r="C5">
            <v>100</v>
          </cell>
        </row>
        <row r="6">
          <cell r="C6">
            <v>3</v>
          </cell>
        </row>
        <row r="14">
          <cell r="B14">
            <v>0.14</v>
          </cell>
        </row>
        <row r="15">
          <cell r="B15">
            <v>0.1</v>
          </cell>
        </row>
        <row r="16">
          <cell r="B16">
            <v>0.12</v>
          </cell>
        </row>
        <row r="17">
          <cell r="B17">
            <v>0.13</v>
          </cell>
        </row>
        <row r="18">
          <cell r="B18">
            <v>0.09</v>
          </cell>
        </row>
        <row r="19">
          <cell r="B19">
            <v>0.11</v>
          </cell>
        </row>
        <row r="20">
          <cell r="B20">
            <v>0.1</v>
          </cell>
        </row>
        <row r="21">
          <cell r="B21">
            <v>0.12</v>
          </cell>
        </row>
        <row r="22">
          <cell r="B22">
            <v>0.13</v>
          </cell>
        </row>
        <row r="23">
          <cell r="B23">
            <v>0.1</v>
          </cell>
        </row>
        <row r="24">
          <cell r="B24">
            <v>0.08</v>
          </cell>
        </row>
        <row r="25">
          <cell r="B25">
            <v>0.12</v>
          </cell>
        </row>
        <row r="26">
          <cell r="B26">
            <v>0.09</v>
          </cell>
        </row>
        <row r="27">
          <cell r="B27">
            <v>0.1</v>
          </cell>
        </row>
        <row r="28">
          <cell r="B28">
            <v>0.11</v>
          </cell>
        </row>
        <row r="29">
          <cell r="B29">
            <v>0.1</v>
          </cell>
        </row>
        <row r="30">
          <cell r="B30">
            <v>0.08</v>
          </cell>
        </row>
        <row r="31">
          <cell r="B31">
            <v>0.12</v>
          </cell>
        </row>
        <row r="32">
          <cell r="B32">
            <v>0.1</v>
          </cell>
        </row>
        <row r="33">
          <cell r="B33">
            <v>0.16</v>
          </cell>
        </row>
      </sheetData>
      <sheetData sheetId="8">
        <row r="5">
          <cell r="C5">
            <v>2.5</v>
          </cell>
        </row>
        <row r="6">
          <cell r="C6">
            <v>2</v>
          </cell>
        </row>
        <row r="14">
          <cell r="B14">
            <v>3</v>
          </cell>
        </row>
        <row r="15">
          <cell r="B15">
            <v>2</v>
          </cell>
        </row>
        <row r="16">
          <cell r="B16">
            <v>4</v>
          </cell>
        </row>
        <row r="17">
          <cell r="B17">
            <v>5</v>
          </cell>
        </row>
        <row r="18">
          <cell r="B18">
            <v>1</v>
          </cell>
        </row>
        <row r="19">
          <cell r="B19">
            <v>2</v>
          </cell>
        </row>
        <row r="20">
          <cell r="B20">
            <v>4</v>
          </cell>
        </row>
        <row r="21">
          <cell r="B21">
            <v>1</v>
          </cell>
        </row>
        <row r="22">
          <cell r="B22">
            <v>2</v>
          </cell>
        </row>
        <row r="23">
          <cell r="B23">
            <v>1</v>
          </cell>
        </row>
        <row r="24">
          <cell r="B24">
            <v>3</v>
          </cell>
        </row>
        <row r="25">
          <cell r="B25">
            <v>4</v>
          </cell>
        </row>
        <row r="26">
          <cell r="B26">
            <v>2</v>
          </cell>
        </row>
        <row r="27">
          <cell r="B27">
            <v>4</v>
          </cell>
        </row>
        <row r="28">
          <cell r="B28">
            <v>2</v>
          </cell>
        </row>
        <row r="29">
          <cell r="B29">
            <v>1</v>
          </cell>
        </row>
        <row r="30">
          <cell r="B30">
            <v>3</v>
          </cell>
        </row>
        <row r="31">
          <cell r="B31">
            <v>1</v>
          </cell>
        </row>
      </sheetData>
      <sheetData sheetId="9">
        <row r="3">
          <cell r="C3">
            <v>20</v>
          </cell>
        </row>
        <row r="4">
          <cell r="C4">
            <v>11</v>
          </cell>
        </row>
        <row r="16">
          <cell r="B16">
            <v>10</v>
          </cell>
        </row>
        <row r="17">
          <cell r="B17">
            <v>10.4</v>
          </cell>
        </row>
        <row r="18">
          <cell r="B18">
            <v>10.2</v>
          </cell>
        </row>
        <row r="19">
          <cell r="B19">
            <v>11.5</v>
          </cell>
        </row>
        <row r="20">
          <cell r="B20">
            <v>10.8</v>
          </cell>
        </row>
        <row r="21">
          <cell r="B21">
            <v>11.6</v>
          </cell>
        </row>
        <row r="22">
          <cell r="B22">
            <v>11.1</v>
          </cell>
        </row>
        <row r="23">
          <cell r="B23">
            <v>11.2</v>
          </cell>
        </row>
        <row r="24">
          <cell r="B24">
            <v>10.6</v>
          </cell>
        </row>
        <row r="25">
          <cell r="B25">
            <v>10.9</v>
          </cell>
        </row>
        <row r="26">
          <cell r="B26">
            <v>10.7</v>
          </cell>
        </row>
        <row r="27">
          <cell r="B27">
            <v>11.3</v>
          </cell>
        </row>
        <row r="28">
          <cell r="B28">
            <v>10.8</v>
          </cell>
        </row>
        <row r="29">
          <cell r="B29">
            <v>11.8</v>
          </cell>
        </row>
        <row r="30">
          <cell r="B30">
            <v>11.2</v>
          </cell>
        </row>
        <row r="31">
          <cell r="B31">
            <v>11.6</v>
          </cell>
        </row>
        <row r="32">
          <cell r="B32">
            <v>11.2</v>
          </cell>
        </row>
        <row r="33">
          <cell r="B33">
            <v>10.6</v>
          </cell>
        </row>
        <row r="34">
          <cell r="B34">
            <v>10.7</v>
          </cell>
        </row>
        <row r="35">
          <cell r="B35">
            <v>11.9</v>
          </cell>
        </row>
      </sheetData>
      <sheetData sheetId="10">
        <row r="4">
          <cell r="C4">
            <v>0.6</v>
          </cell>
        </row>
        <row r="9">
          <cell r="B9">
            <v>0.1</v>
          </cell>
          <cell r="D9">
            <v>0.6</v>
          </cell>
        </row>
        <row r="10">
          <cell r="B10">
            <v>0.08</v>
          </cell>
          <cell r="D10">
            <v>0.6</v>
          </cell>
        </row>
        <row r="11">
          <cell r="B11">
            <v>0.13</v>
          </cell>
          <cell r="D11">
            <v>0.6</v>
          </cell>
        </row>
      </sheetData>
      <sheetData sheetId="11">
        <row r="20">
          <cell r="C20">
            <v>0.01</v>
          </cell>
          <cell r="H20">
            <v>0.0001</v>
          </cell>
        </row>
        <row r="21">
          <cell r="C21">
            <v>0.069</v>
          </cell>
          <cell r="H21">
            <v>0.08136284275483516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B1:D25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9" t="s">
        <v>94</v>
      </c>
      <c r="C1" s="10"/>
      <c r="D1" s="10"/>
    </row>
    <row r="2" spans="2:4" ht="12.75">
      <c r="B2" s="9" t="s">
        <v>45</v>
      </c>
      <c r="C2" s="10"/>
      <c r="D2" s="10"/>
    </row>
    <row r="3" spans="2:4" ht="12.75">
      <c r="B3" s="9" t="s">
        <v>46</v>
      </c>
      <c r="C3" s="10"/>
      <c r="D3" s="10"/>
    </row>
    <row r="4" spans="2:4" ht="12.75">
      <c r="B4" s="9" t="s">
        <v>90</v>
      </c>
      <c r="C4" s="10"/>
      <c r="D4" s="10"/>
    </row>
    <row r="6" ht="12.75">
      <c r="B6" s="6" t="s">
        <v>55</v>
      </c>
    </row>
    <row r="8" spans="3:4" ht="12.75">
      <c r="C8" s="6" t="s">
        <v>47</v>
      </c>
      <c r="D8" s="167" t="s">
        <v>72</v>
      </c>
    </row>
    <row r="9" spans="3:4" ht="12.75">
      <c r="C9" s="6"/>
      <c r="D9" s="171" t="s">
        <v>92</v>
      </c>
    </row>
    <row r="10" spans="3:4" ht="12.75">
      <c r="C10" s="6"/>
      <c r="D10" s="171" t="s">
        <v>93</v>
      </c>
    </row>
    <row r="11" spans="3:4" ht="12.75">
      <c r="C11" s="6"/>
      <c r="D11" s="168" t="s">
        <v>11</v>
      </c>
    </row>
    <row r="12" spans="3:4" ht="12.75">
      <c r="C12" s="6"/>
      <c r="D12" s="168" t="s">
        <v>15</v>
      </c>
    </row>
    <row r="13" spans="3:4" ht="12.75">
      <c r="C13" s="6"/>
      <c r="D13" s="168" t="s">
        <v>16</v>
      </c>
    </row>
    <row r="14" spans="3:4" ht="12.75">
      <c r="C14" s="6"/>
      <c r="D14" s="168" t="s">
        <v>22</v>
      </c>
    </row>
    <row r="15" spans="3:4" ht="12.75">
      <c r="C15" s="6"/>
      <c r="D15" s="167" t="s">
        <v>10</v>
      </c>
    </row>
    <row r="17" ht="12.75">
      <c r="C17" s="169" t="s">
        <v>48</v>
      </c>
    </row>
    <row r="19" ht="12.75">
      <c r="C19" s="169" t="s">
        <v>49</v>
      </c>
    </row>
    <row r="21" ht="12.75">
      <c r="C21" s="170"/>
    </row>
    <row r="23" spans="2:3" ht="12.75">
      <c r="B23" s="6" t="s">
        <v>91</v>
      </c>
      <c r="C23" s="6"/>
    </row>
    <row r="25" ht="12.75">
      <c r="C25" s="6"/>
    </row>
  </sheetData>
  <sheetProtection password="A753" sheet="1" objects="1" scenarios="1"/>
  <hyperlinks>
    <hyperlink ref="D8" location="Normal!A1" display="Normal Distribution"/>
    <hyperlink ref="D9" location="'Mean Chart (1)'!A1" display="Mean Control Chart (s known)"/>
    <hyperlink ref="D10" location="'Mean Chart (2)'!A1" display="Mean Control Chart (s unknown)"/>
    <hyperlink ref="D11" location="'Range Chart'!A1" display="Range Control Chart"/>
    <hyperlink ref="D12" location="'p-Chart'!A1" display="p-Chart"/>
    <hyperlink ref="D13" location="'c-Chart'!A1" display="c-Chart"/>
    <hyperlink ref="D14" location="'Runs Tests'!A1" display="Runs Tests"/>
    <hyperlink ref="D15" location="'Process Capability'!A1" display="Process Capability"/>
    <hyperlink ref="C17" location="Examples!A1" display="Examples"/>
    <hyperlink ref="C19" location="'Solved Problems'!A1" display="Solved Problems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"/>
  <dimension ref="A1:I175"/>
  <sheetViews>
    <sheetView workbookViewId="0" topLeftCell="A157">
      <selection activeCell="C175" sqref="C175:E175"/>
    </sheetView>
  </sheetViews>
  <sheetFormatPr defaultColWidth="9.140625" defaultRowHeight="12.75"/>
  <cols>
    <col min="1" max="1" width="4.28125" style="8" customWidth="1"/>
    <col min="2" max="5" width="12.7109375" style="1" customWidth="1"/>
    <col min="6" max="10" width="11.140625" style="1" customWidth="1"/>
    <col min="11" max="11" width="2.7109375" style="1" customWidth="1"/>
    <col min="12" max="12" width="14.7109375" style="1" customWidth="1"/>
  </cols>
  <sheetData>
    <row r="1" ht="12.75">
      <c r="A1" s="11" t="s">
        <v>53</v>
      </c>
    </row>
    <row r="3" spans="1:5" ht="12.75">
      <c r="A3" s="7" t="s">
        <v>8</v>
      </c>
      <c r="B3" s="12" t="s">
        <v>42</v>
      </c>
      <c r="C3" s="93"/>
      <c r="D3" s="93"/>
      <c r="E3" s="93"/>
    </row>
    <row r="4" spans="2:5" ht="13.5" thickBot="1">
      <c r="B4" s="93"/>
      <c r="C4" s="93"/>
      <c r="D4" s="93"/>
      <c r="E4" s="93"/>
    </row>
    <row r="5" spans="2:5" ht="12.75">
      <c r="B5" s="80" t="s">
        <v>24</v>
      </c>
      <c r="C5" s="83"/>
      <c r="D5" s="83"/>
      <c r="E5" s="26">
        <v>12.11</v>
      </c>
    </row>
    <row r="6" spans="2:5" ht="12.75">
      <c r="B6" s="94" t="s">
        <v>41</v>
      </c>
      <c r="C6" s="82"/>
      <c r="D6" s="130" t="s">
        <v>62</v>
      </c>
      <c r="E6" s="60">
        <v>0.02</v>
      </c>
    </row>
    <row r="7" spans="2:5" ht="12.75">
      <c r="B7" s="94" t="s">
        <v>40</v>
      </c>
      <c r="C7" s="82"/>
      <c r="D7" s="33" t="s">
        <v>59</v>
      </c>
      <c r="E7" s="60">
        <v>5</v>
      </c>
    </row>
    <row r="8" spans="2:5" ht="12.75">
      <c r="B8" s="95"/>
      <c r="C8" s="96"/>
      <c r="D8" s="33" t="s">
        <v>60</v>
      </c>
      <c r="E8" s="60">
        <v>3</v>
      </c>
    </row>
    <row r="9" spans="2:5" ht="13.5" thickBot="1">
      <c r="B9" s="85"/>
      <c r="C9" s="97"/>
      <c r="D9" s="98" t="s">
        <v>61</v>
      </c>
      <c r="E9" s="70">
        <v>0.1</v>
      </c>
    </row>
    <row r="10" ht="13.5" thickBot="1"/>
    <row r="11" spans="4:5" ht="12.75">
      <c r="D11" s="99" t="s">
        <v>2</v>
      </c>
      <c r="E11" s="18">
        <v>12.136832815729997</v>
      </c>
    </row>
    <row r="12" spans="2:5" ht="13.5" thickBot="1">
      <c r="B12" s="42"/>
      <c r="C12" s="43"/>
      <c r="D12" s="100" t="s">
        <v>3</v>
      </c>
      <c r="E12" s="20">
        <v>12.083167184270001</v>
      </c>
    </row>
    <row r="13" spans="4:5" ht="12.75">
      <c r="D13" s="44"/>
      <c r="E13" s="43"/>
    </row>
    <row r="14" spans="2:5" ht="12.75">
      <c r="B14" s="4" t="s">
        <v>58</v>
      </c>
      <c r="D14" s="101"/>
      <c r="E14" s="101"/>
    </row>
    <row r="15" spans="3:5" ht="12.75">
      <c r="C15" s="42"/>
      <c r="D15" s="102" t="s">
        <v>0</v>
      </c>
      <c r="E15" s="103"/>
    </row>
    <row r="16" spans="3:5" ht="12.75">
      <c r="C16" s="104" t="s">
        <v>14</v>
      </c>
      <c r="D16" s="102">
        <v>12.11</v>
      </c>
      <c r="E16" s="93"/>
    </row>
    <row r="17" spans="3:5" ht="12.75">
      <c r="C17" s="105"/>
      <c r="D17" s="106"/>
      <c r="E17" s="93"/>
    </row>
    <row r="18" spans="3:5" ht="12.75">
      <c r="C18" s="38" t="s">
        <v>13</v>
      </c>
      <c r="D18" s="104" t="s">
        <v>0</v>
      </c>
      <c r="E18" s="93"/>
    </row>
    <row r="19" spans="3:5" ht="12.75">
      <c r="C19" s="107">
        <v>1</v>
      </c>
      <c r="D19" s="24">
        <v>12.1</v>
      </c>
      <c r="E19" s="93"/>
    </row>
    <row r="20" spans="3:5" ht="12.75">
      <c r="C20" s="108">
        <v>2</v>
      </c>
      <c r="D20" s="25">
        <v>12.12</v>
      </c>
      <c r="E20" s="93"/>
    </row>
    <row r="21" spans="3:5" ht="12.75">
      <c r="C21" s="108">
        <v>3</v>
      </c>
      <c r="D21" s="25">
        <v>12.11</v>
      </c>
      <c r="E21" s="93"/>
    </row>
    <row r="22" spans="3:5" ht="12.75">
      <c r="C22" s="108">
        <v>4</v>
      </c>
      <c r="D22" s="25">
        <v>12.1</v>
      </c>
      <c r="E22" s="93"/>
    </row>
    <row r="23" spans="3:5" ht="12.75">
      <c r="C23" s="108">
        <v>5</v>
      </c>
      <c r="D23" s="25">
        <v>12.12</v>
      </c>
      <c r="E23" s="93"/>
    </row>
    <row r="26" spans="1:5" ht="12.75">
      <c r="A26" s="7" t="s">
        <v>9</v>
      </c>
      <c r="B26" s="12" t="s">
        <v>43</v>
      </c>
      <c r="C26" s="93"/>
      <c r="D26" s="93"/>
      <c r="E26" s="93"/>
    </row>
    <row r="27" spans="2:5" ht="13.5" thickBot="1">
      <c r="B27" s="93"/>
      <c r="C27" s="93"/>
      <c r="D27" s="93"/>
      <c r="E27" s="93"/>
    </row>
    <row r="28" spans="2:5" ht="12.75">
      <c r="B28" s="80" t="s">
        <v>24</v>
      </c>
      <c r="C28" s="83"/>
      <c r="D28" s="84"/>
      <c r="E28" s="26">
        <v>3</v>
      </c>
    </row>
    <row r="29" spans="2:5" ht="12.75">
      <c r="B29" s="94" t="s">
        <v>23</v>
      </c>
      <c r="C29" s="82"/>
      <c r="D29" s="109"/>
      <c r="E29" s="60">
        <v>0.016</v>
      </c>
    </row>
    <row r="30" spans="2:5" ht="13.5" thickBot="1">
      <c r="B30" s="85" t="s">
        <v>40</v>
      </c>
      <c r="C30" s="86"/>
      <c r="D30" s="110" t="s">
        <v>59</v>
      </c>
      <c r="E30" s="70">
        <v>8</v>
      </c>
    </row>
    <row r="31" spans="2:5" ht="13.5" thickBot="1">
      <c r="B31" s="39"/>
      <c r="C31" s="39"/>
      <c r="D31" s="39"/>
      <c r="E31" s="111"/>
    </row>
    <row r="32" spans="4:5" ht="12.75">
      <c r="D32" s="99" t="s">
        <v>2</v>
      </c>
      <c r="E32" s="18">
        <v>3.00592</v>
      </c>
    </row>
    <row r="33" spans="2:5" ht="13.5" thickBot="1">
      <c r="B33" s="42"/>
      <c r="C33" s="43"/>
      <c r="D33" s="100" t="s">
        <v>3</v>
      </c>
      <c r="E33" s="20">
        <v>2.99408</v>
      </c>
    </row>
    <row r="36" spans="1:5" ht="12.75">
      <c r="A36" s="7" t="s">
        <v>51</v>
      </c>
      <c r="B36" s="12" t="s">
        <v>11</v>
      </c>
      <c r="C36" s="4"/>
      <c r="D36" s="4"/>
      <c r="E36" s="4"/>
    </row>
    <row r="37" spans="2:5" ht="12.75">
      <c r="B37" s="4"/>
      <c r="C37" s="4"/>
      <c r="D37" s="4"/>
      <c r="E37" s="4"/>
    </row>
    <row r="38" spans="2:5" ht="13.5" thickBot="1">
      <c r="B38" s="4"/>
      <c r="C38" s="4"/>
      <c r="D38" s="4"/>
      <c r="E38" s="4"/>
    </row>
    <row r="39" spans="2:5" ht="12.75">
      <c r="B39" s="81" t="s">
        <v>23</v>
      </c>
      <c r="C39" s="83"/>
      <c r="D39" s="84"/>
      <c r="E39" s="26">
        <v>0.01</v>
      </c>
    </row>
    <row r="40" spans="2:5" ht="13.5" thickBot="1">
      <c r="B40" s="127" t="s">
        <v>40</v>
      </c>
      <c r="C40" s="86"/>
      <c r="D40" s="110" t="s">
        <v>59</v>
      </c>
      <c r="E40" s="70">
        <v>10</v>
      </c>
    </row>
    <row r="41" spans="2:5" ht="13.5" thickBot="1">
      <c r="B41" s="39"/>
      <c r="C41" s="40"/>
      <c r="D41" s="40"/>
      <c r="E41" s="41"/>
    </row>
    <row r="42" spans="4:5" ht="12.75">
      <c r="D42" s="99" t="s">
        <v>2</v>
      </c>
      <c r="E42" s="18">
        <v>0.0178</v>
      </c>
    </row>
    <row r="43" spans="2:5" ht="13.5" thickBot="1">
      <c r="B43" s="42"/>
      <c r="C43" s="43"/>
      <c r="D43" s="100" t="s">
        <v>3</v>
      </c>
      <c r="E43" s="20">
        <v>0.0022</v>
      </c>
    </row>
    <row r="46" spans="1:5" ht="12.75">
      <c r="A46" s="7" t="s">
        <v>52</v>
      </c>
      <c r="B46" s="12" t="s">
        <v>15</v>
      </c>
      <c r="C46" s="4"/>
      <c r="D46" s="4"/>
      <c r="E46" s="4"/>
    </row>
    <row r="47" spans="2:5" ht="12.75">
      <c r="B47" s="4"/>
      <c r="C47" s="4"/>
      <c r="D47" s="4"/>
      <c r="E47" s="4"/>
    </row>
    <row r="48" spans="2:5" ht="13.5" thickBot="1">
      <c r="B48" s="4"/>
      <c r="C48" s="4"/>
      <c r="D48" s="4"/>
      <c r="E48" s="4"/>
    </row>
    <row r="49" spans="2:5" ht="12.75">
      <c r="B49" s="81" t="s">
        <v>57</v>
      </c>
      <c r="C49" s="83"/>
      <c r="D49" s="83"/>
      <c r="E49" s="26">
        <f>220/20/100</f>
        <v>0.11</v>
      </c>
    </row>
    <row r="50" spans="2:5" ht="12.75">
      <c r="B50" s="128" t="s">
        <v>40</v>
      </c>
      <c r="C50" s="82"/>
      <c r="D50" s="33" t="s">
        <v>59</v>
      </c>
      <c r="E50" s="60">
        <v>100</v>
      </c>
    </row>
    <row r="51" spans="2:5" ht="12.75">
      <c r="B51" s="128"/>
      <c r="C51" s="82"/>
      <c r="D51" s="33" t="s">
        <v>60</v>
      </c>
      <c r="E51" s="60">
        <v>3</v>
      </c>
    </row>
    <row r="52" spans="2:5" ht="13.5" thickBot="1">
      <c r="B52" s="85"/>
      <c r="C52" s="129"/>
      <c r="D52" s="98" t="s">
        <v>61</v>
      </c>
      <c r="E52" s="70">
        <v>0.1</v>
      </c>
    </row>
    <row r="53" ht="13.5" thickBot="1"/>
    <row r="54" spans="4:5" ht="12.75">
      <c r="D54" s="99" t="s">
        <v>2</v>
      </c>
      <c r="E54" s="18">
        <v>0.2038669270829721</v>
      </c>
    </row>
    <row r="55" spans="2:5" ht="13.5" thickBot="1">
      <c r="B55" s="42"/>
      <c r="C55" s="43"/>
      <c r="D55" s="100" t="s">
        <v>3</v>
      </c>
      <c r="E55" s="20">
        <v>0.01613307291702791</v>
      </c>
    </row>
    <row r="56" ht="12.75">
      <c r="E56" s="43"/>
    </row>
    <row r="57" spans="2:5" ht="13.5" thickBot="1">
      <c r="B57" s="4" t="s">
        <v>58</v>
      </c>
      <c r="E57" s="34"/>
    </row>
    <row r="58" spans="3:5" ht="13.5" thickBot="1">
      <c r="C58" s="42"/>
      <c r="D58" s="21" t="s">
        <v>18</v>
      </c>
      <c r="E58" s="34"/>
    </row>
    <row r="59" spans="3:5" ht="13.5" thickBot="1">
      <c r="C59" s="15" t="s">
        <v>14</v>
      </c>
      <c r="D59" s="21">
        <v>0.11</v>
      </c>
      <c r="E59" s="23"/>
    </row>
    <row r="60" spans="3:5" ht="13.5" thickBot="1">
      <c r="C60" s="35"/>
      <c r="D60" s="27"/>
      <c r="E60" s="23"/>
    </row>
    <row r="61" spans="3:5" ht="13.5" thickBot="1">
      <c r="C61" s="89" t="s">
        <v>13</v>
      </c>
      <c r="D61" s="21" t="s">
        <v>18</v>
      </c>
      <c r="E61" s="23"/>
    </row>
    <row r="62" spans="3:5" ht="12.75">
      <c r="C62" s="90">
        <v>1</v>
      </c>
      <c r="D62" s="26">
        <v>0.04</v>
      </c>
      <c r="E62" s="23"/>
    </row>
    <row r="63" spans="3:5" ht="12.75">
      <c r="C63" s="91">
        <v>2</v>
      </c>
      <c r="D63" s="60">
        <v>0.1</v>
      </c>
      <c r="E63" s="23"/>
    </row>
    <row r="64" spans="3:5" ht="12.75">
      <c r="C64" s="91">
        <v>3</v>
      </c>
      <c r="D64" s="60">
        <v>0.12</v>
      </c>
      <c r="E64" s="23"/>
    </row>
    <row r="65" spans="3:5" ht="12.75">
      <c r="C65" s="91">
        <v>4</v>
      </c>
      <c r="D65" s="60">
        <v>0.03</v>
      </c>
      <c r="E65" s="23"/>
    </row>
    <row r="66" spans="3:5" ht="12.75">
      <c r="C66" s="91">
        <v>5</v>
      </c>
      <c r="D66" s="60">
        <v>0.09</v>
      </c>
      <c r="E66" s="23"/>
    </row>
    <row r="67" spans="3:5" ht="12.75">
      <c r="C67" s="91">
        <v>6</v>
      </c>
      <c r="D67" s="60">
        <v>0.11</v>
      </c>
      <c r="E67" s="23"/>
    </row>
    <row r="68" spans="3:5" ht="12.75">
      <c r="C68" s="91">
        <v>7</v>
      </c>
      <c r="D68" s="60">
        <v>0.1</v>
      </c>
      <c r="E68" s="23"/>
    </row>
    <row r="69" spans="3:5" ht="12.75">
      <c r="C69" s="91">
        <v>8</v>
      </c>
      <c r="D69" s="60">
        <v>0.22</v>
      </c>
      <c r="E69" s="23"/>
    </row>
    <row r="70" spans="3:5" ht="12.75">
      <c r="C70" s="91">
        <v>9</v>
      </c>
      <c r="D70" s="60">
        <v>0.13</v>
      </c>
      <c r="E70" s="23"/>
    </row>
    <row r="71" spans="3:5" ht="12.75">
      <c r="C71" s="91">
        <v>10</v>
      </c>
      <c r="D71" s="60">
        <v>0.1</v>
      </c>
      <c r="E71" s="23"/>
    </row>
    <row r="72" spans="3:5" ht="12.75">
      <c r="C72" s="91">
        <v>11</v>
      </c>
      <c r="D72" s="60">
        <v>0.08</v>
      </c>
      <c r="E72" s="23"/>
    </row>
    <row r="73" spans="3:5" ht="12.75">
      <c r="C73" s="91">
        <v>12</v>
      </c>
      <c r="D73" s="60">
        <v>0.12</v>
      </c>
      <c r="E73" s="23"/>
    </row>
    <row r="74" spans="3:5" ht="12.75">
      <c r="C74" s="91">
        <v>13</v>
      </c>
      <c r="D74" s="60">
        <v>0.09</v>
      </c>
      <c r="E74" s="23"/>
    </row>
    <row r="75" spans="3:5" ht="12.75">
      <c r="C75" s="91">
        <v>14</v>
      </c>
      <c r="D75" s="60">
        <v>0.1</v>
      </c>
      <c r="E75" s="23"/>
    </row>
    <row r="76" spans="3:5" ht="12.75">
      <c r="C76" s="91">
        <v>15</v>
      </c>
      <c r="D76" s="60">
        <v>0.21</v>
      </c>
      <c r="E76" s="23"/>
    </row>
    <row r="77" spans="3:5" ht="12.75">
      <c r="C77" s="91">
        <v>16</v>
      </c>
      <c r="D77" s="60">
        <v>0.1</v>
      </c>
      <c r="E77" s="23"/>
    </row>
    <row r="78" spans="3:5" ht="12.75">
      <c r="C78" s="91">
        <v>17</v>
      </c>
      <c r="D78" s="60">
        <v>0.08</v>
      </c>
      <c r="E78" s="23"/>
    </row>
    <row r="79" spans="3:5" ht="12.75">
      <c r="C79" s="91">
        <v>18</v>
      </c>
      <c r="D79" s="60">
        <v>0.12</v>
      </c>
      <c r="E79" s="23"/>
    </row>
    <row r="80" spans="3:4" ht="12.75">
      <c r="C80" s="91">
        <v>19</v>
      </c>
      <c r="D80" s="60">
        <v>0.1</v>
      </c>
    </row>
    <row r="81" spans="3:4" ht="13.5" thickBot="1">
      <c r="C81" s="92">
        <v>20</v>
      </c>
      <c r="D81" s="70">
        <v>0.16</v>
      </c>
    </row>
    <row r="84" spans="1:5" ht="12.75">
      <c r="A84" s="7" t="s">
        <v>63</v>
      </c>
      <c r="B84" s="12" t="s">
        <v>16</v>
      </c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3.5" thickBot="1">
      <c r="B87" s="4"/>
      <c r="C87" s="4"/>
      <c r="D87" s="4"/>
      <c r="E87" s="4"/>
    </row>
    <row r="88" spans="2:5" ht="12.75">
      <c r="B88" s="81" t="s">
        <v>56</v>
      </c>
      <c r="C88" s="83"/>
      <c r="D88" s="83"/>
      <c r="E88" s="26">
        <v>2.5</v>
      </c>
    </row>
    <row r="89" spans="2:5" ht="12.75">
      <c r="B89" s="73"/>
      <c r="C89" s="82"/>
      <c r="D89" s="33" t="s">
        <v>60</v>
      </c>
      <c r="E89" s="60">
        <v>3</v>
      </c>
    </row>
    <row r="90" spans="2:5" ht="13.5" thickBot="1">
      <c r="B90" s="85"/>
      <c r="C90" s="86"/>
      <c r="D90" s="98" t="s">
        <v>61</v>
      </c>
      <c r="E90" s="70">
        <v>0.1</v>
      </c>
    </row>
    <row r="91" ht="13.5" thickBot="1"/>
    <row r="92" spans="4:5" ht="12.75">
      <c r="D92" s="87" t="s">
        <v>2</v>
      </c>
      <c r="E92" s="18">
        <v>7.243416490252569</v>
      </c>
    </row>
    <row r="93" spans="2:5" ht="13.5" thickBot="1">
      <c r="B93" s="42"/>
      <c r="C93" s="43"/>
      <c r="D93" s="88" t="s">
        <v>3</v>
      </c>
      <c r="E93" s="20">
        <v>0</v>
      </c>
    </row>
    <row r="94" spans="4:5" ht="12.75">
      <c r="D94" s="44"/>
      <c r="E94" s="43"/>
    </row>
    <row r="95" spans="2:5" ht="13.5" thickBot="1">
      <c r="B95" s="4" t="s">
        <v>58</v>
      </c>
      <c r="D95" s="34"/>
      <c r="E95" s="34"/>
    </row>
    <row r="96" spans="3:5" ht="13.5" thickBot="1">
      <c r="C96" s="42"/>
      <c r="D96" s="21" t="s">
        <v>17</v>
      </c>
      <c r="E96" s="34"/>
    </row>
    <row r="97" spans="3:5" ht="13.5" thickBot="1">
      <c r="C97" s="15" t="s">
        <v>14</v>
      </c>
      <c r="D97" s="21">
        <v>2.5</v>
      </c>
      <c r="E97" s="23"/>
    </row>
    <row r="98" spans="3:5" ht="13.5" thickBot="1">
      <c r="C98" s="35"/>
      <c r="D98" s="27"/>
      <c r="E98" s="23"/>
    </row>
    <row r="99" spans="3:5" ht="13.5" thickBot="1">
      <c r="C99" s="89" t="s">
        <v>13</v>
      </c>
      <c r="D99" s="21" t="s">
        <v>17</v>
      </c>
      <c r="E99" s="23"/>
    </row>
    <row r="100" spans="3:5" ht="12.75">
      <c r="C100" s="90">
        <v>1</v>
      </c>
      <c r="D100" s="26">
        <v>3</v>
      </c>
      <c r="E100" s="23"/>
    </row>
    <row r="101" spans="3:5" ht="12.75">
      <c r="C101" s="91">
        <v>2</v>
      </c>
      <c r="D101" s="60">
        <v>2</v>
      </c>
      <c r="E101" s="23"/>
    </row>
    <row r="102" spans="3:5" ht="12.75">
      <c r="C102" s="91">
        <v>3</v>
      </c>
      <c r="D102" s="60">
        <v>4</v>
      </c>
      <c r="E102" s="23"/>
    </row>
    <row r="103" spans="3:5" ht="12.75">
      <c r="C103" s="91">
        <v>4</v>
      </c>
      <c r="D103" s="60">
        <v>5</v>
      </c>
      <c r="E103" s="23"/>
    </row>
    <row r="104" spans="3:5" ht="12.75">
      <c r="C104" s="91">
        <v>5</v>
      </c>
      <c r="D104" s="60">
        <v>1</v>
      </c>
      <c r="E104" s="23"/>
    </row>
    <row r="105" spans="3:5" ht="12.75">
      <c r="C105" s="91">
        <v>6</v>
      </c>
      <c r="D105" s="60">
        <v>2</v>
      </c>
      <c r="E105" s="23"/>
    </row>
    <row r="106" spans="3:5" ht="12.75">
      <c r="C106" s="91">
        <v>7</v>
      </c>
      <c r="D106" s="60">
        <v>4</v>
      </c>
      <c r="E106" s="23"/>
    </row>
    <row r="107" spans="3:5" ht="12.75">
      <c r="C107" s="91">
        <v>8</v>
      </c>
      <c r="D107" s="60">
        <v>1</v>
      </c>
      <c r="E107" s="23"/>
    </row>
    <row r="108" spans="3:5" ht="12.75">
      <c r="C108" s="91">
        <v>9</v>
      </c>
      <c r="D108" s="60">
        <v>2</v>
      </c>
      <c r="E108" s="23"/>
    </row>
    <row r="109" spans="3:5" ht="12.75">
      <c r="C109" s="91">
        <v>10</v>
      </c>
      <c r="D109" s="60">
        <v>1</v>
      </c>
      <c r="E109" s="23"/>
    </row>
    <row r="110" spans="3:5" ht="12.75">
      <c r="C110" s="91">
        <v>11</v>
      </c>
      <c r="D110" s="60">
        <v>3</v>
      </c>
      <c r="E110" s="23"/>
    </row>
    <row r="111" spans="3:5" ht="12.75">
      <c r="C111" s="91">
        <v>12</v>
      </c>
      <c r="D111" s="60">
        <v>4</v>
      </c>
      <c r="E111" s="23"/>
    </row>
    <row r="112" spans="3:5" ht="12.75">
      <c r="C112" s="91">
        <v>13</v>
      </c>
      <c r="D112" s="60">
        <v>2</v>
      </c>
      <c r="E112" s="23"/>
    </row>
    <row r="113" spans="3:5" ht="12.75">
      <c r="C113" s="91">
        <v>14</v>
      </c>
      <c r="D113" s="60">
        <v>4</v>
      </c>
      <c r="E113" s="23"/>
    </row>
    <row r="114" spans="3:5" ht="12.75">
      <c r="C114" s="91">
        <v>15</v>
      </c>
      <c r="D114" s="60">
        <v>2</v>
      </c>
      <c r="E114" s="23"/>
    </row>
    <row r="115" spans="3:5" ht="12.75">
      <c r="C115" s="91">
        <v>16</v>
      </c>
      <c r="D115" s="60">
        <v>1</v>
      </c>
      <c r="E115" s="23"/>
    </row>
    <row r="116" spans="3:5" ht="12.75">
      <c r="C116" s="91">
        <v>17</v>
      </c>
      <c r="D116" s="60">
        <v>3</v>
      </c>
      <c r="E116" s="23"/>
    </row>
    <row r="117" spans="3:5" ht="12.75">
      <c r="C117" s="91">
        <v>18</v>
      </c>
      <c r="D117" s="60">
        <v>1</v>
      </c>
      <c r="E117" s="23"/>
    </row>
    <row r="120" spans="1:5" ht="12.75">
      <c r="A120" s="7" t="s">
        <v>67</v>
      </c>
      <c r="B120" s="12" t="s">
        <v>22</v>
      </c>
      <c r="C120" s="4"/>
      <c r="D120" s="4"/>
      <c r="E120" s="4"/>
    </row>
    <row r="121" spans="2:5" ht="13.5" thickBot="1">
      <c r="B121" s="4"/>
      <c r="C121" s="4"/>
      <c r="D121" s="4"/>
      <c r="E121" s="4"/>
    </row>
    <row r="122" spans="2:5" ht="12.75">
      <c r="B122" s="66"/>
      <c r="C122" s="67" t="s">
        <v>38</v>
      </c>
      <c r="D122" s="26">
        <v>20</v>
      </c>
      <c r="E122" s="23"/>
    </row>
    <row r="123" spans="2:5" ht="13.5" thickBot="1">
      <c r="B123" s="68"/>
      <c r="C123" s="69" t="s">
        <v>39</v>
      </c>
      <c r="D123" s="70">
        <v>11</v>
      </c>
      <c r="E123" s="23"/>
    </row>
    <row r="124" spans="2:5" ht="13.5" thickBot="1">
      <c r="B124" s="4"/>
      <c r="C124" s="23"/>
      <c r="D124" s="23"/>
      <c r="E124" s="23"/>
    </row>
    <row r="125" spans="2:5" ht="13.5" thickBot="1">
      <c r="B125" s="4"/>
      <c r="C125" s="23"/>
      <c r="D125" s="71" t="s">
        <v>19</v>
      </c>
      <c r="E125" s="72" t="s">
        <v>21</v>
      </c>
    </row>
    <row r="126" spans="2:5" ht="12.75">
      <c r="B126" s="134" t="s">
        <v>66</v>
      </c>
      <c r="C126" s="139"/>
      <c r="D126" s="29">
        <v>11</v>
      </c>
      <c r="E126" s="75">
        <v>13</v>
      </c>
    </row>
    <row r="127" spans="2:5" ht="12.75">
      <c r="B127" s="135" t="s">
        <v>25</v>
      </c>
      <c r="C127" s="138" t="s">
        <v>62</v>
      </c>
      <c r="D127" s="65">
        <v>2.179449471770337</v>
      </c>
      <c r="E127" s="76">
        <v>1.798147194568157</v>
      </c>
    </row>
    <row r="128" spans="2:5" ht="12.75">
      <c r="B128" s="135" t="s">
        <v>26</v>
      </c>
      <c r="C128" s="109"/>
      <c r="D128" s="65">
        <v>10</v>
      </c>
      <c r="E128" s="76">
        <v>17</v>
      </c>
    </row>
    <row r="129" spans="2:5" ht="12.75">
      <c r="B129" s="136"/>
      <c r="C129" s="74" t="s">
        <v>64</v>
      </c>
      <c r="D129" s="65">
        <v>-0.4588314677411235</v>
      </c>
      <c r="E129" s="76">
        <v>2.224511993280194</v>
      </c>
    </row>
    <row r="130" spans="2:5" ht="13.5" thickBot="1">
      <c r="B130" s="137"/>
      <c r="C130" s="69" t="s">
        <v>65</v>
      </c>
      <c r="D130" s="64">
        <v>0.3536447719736553</v>
      </c>
      <c r="E130" s="77">
        <v>0.9738860718078337</v>
      </c>
    </row>
    <row r="131" spans="2:5" ht="13.5" thickBot="1">
      <c r="B131" s="4"/>
      <c r="C131" s="23"/>
      <c r="D131" s="23"/>
      <c r="E131" s="23"/>
    </row>
    <row r="132" spans="2:5" ht="13.5" thickBot="1">
      <c r="B132" s="78" t="s">
        <v>19</v>
      </c>
      <c r="C132" s="21">
        <v>11</v>
      </c>
      <c r="D132" s="23"/>
      <c r="E132" s="23"/>
    </row>
    <row r="133" spans="2:5" ht="13.5" thickBot="1">
      <c r="B133" s="35"/>
      <c r="C133" s="27"/>
      <c r="D133" s="34"/>
      <c r="E133" s="34"/>
    </row>
    <row r="134" spans="2:5" ht="13.5" thickBot="1">
      <c r="B134" s="16" t="s">
        <v>13</v>
      </c>
      <c r="C134" s="21" t="s">
        <v>0</v>
      </c>
      <c r="D134" s="21" t="s">
        <v>20</v>
      </c>
      <c r="E134" s="79" t="s">
        <v>21</v>
      </c>
    </row>
    <row r="135" spans="2:5" ht="12.75">
      <c r="B135" s="45">
        <v>1</v>
      </c>
      <c r="C135" s="26">
        <v>10</v>
      </c>
      <c r="D135" s="29" t="s">
        <v>32</v>
      </c>
      <c r="E135" s="75"/>
    </row>
    <row r="136" spans="2:5" ht="12.75">
      <c r="B136" s="55">
        <v>2</v>
      </c>
      <c r="C136" s="60">
        <v>10.4</v>
      </c>
      <c r="D136" s="65" t="s">
        <v>32</v>
      </c>
      <c r="E136" s="76" t="s">
        <v>71</v>
      </c>
    </row>
    <row r="137" spans="2:5" ht="12.75">
      <c r="B137" s="55">
        <v>3</v>
      </c>
      <c r="C137" s="60">
        <v>10.2</v>
      </c>
      <c r="D137" s="65" t="s">
        <v>32</v>
      </c>
      <c r="E137" s="76" t="s">
        <v>36</v>
      </c>
    </row>
    <row r="138" spans="2:5" ht="12.75">
      <c r="B138" s="55">
        <v>4</v>
      </c>
      <c r="C138" s="60">
        <v>11.5</v>
      </c>
      <c r="D138" s="65" t="s">
        <v>31</v>
      </c>
      <c r="E138" s="76" t="s">
        <v>71</v>
      </c>
    </row>
    <row r="139" spans="2:5" ht="12.75">
      <c r="B139" s="55">
        <v>5</v>
      </c>
      <c r="C139" s="60">
        <v>10.8</v>
      </c>
      <c r="D139" s="65" t="s">
        <v>32</v>
      </c>
      <c r="E139" s="76" t="s">
        <v>36</v>
      </c>
    </row>
    <row r="140" spans="2:5" ht="12.75">
      <c r="B140" s="55">
        <v>6</v>
      </c>
      <c r="C140" s="60">
        <v>11.6</v>
      </c>
      <c r="D140" s="65" t="s">
        <v>31</v>
      </c>
      <c r="E140" s="76" t="s">
        <v>71</v>
      </c>
    </row>
    <row r="141" spans="2:5" ht="12.75">
      <c r="B141" s="55">
        <v>7</v>
      </c>
      <c r="C141" s="60">
        <v>11.1</v>
      </c>
      <c r="D141" s="65" t="s">
        <v>31</v>
      </c>
      <c r="E141" s="76" t="s">
        <v>36</v>
      </c>
    </row>
    <row r="142" spans="2:5" ht="12.75">
      <c r="B142" s="55">
        <v>8</v>
      </c>
      <c r="C142" s="60">
        <v>11.2</v>
      </c>
      <c r="D142" s="65" t="s">
        <v>31</v>
      </c>
      <c r="E142" s="76" t="s">
        <v>71</v>
      </c>
    </row>
    <row r="143" spans="2:5" ht="12.75">
      <c r="B143" s="55">
        <v>9</v>
      </c>
      <c r="C143" s="60">
        <v>10.6</v>
      </c>
      <c r="D143" s="65" t="s">
        <v>32</v>
      </c>
      <c r="E143" s="76" t="s">
        <v>36</v>
      </c>
    </row>
    <row r="144" spans="2:5" ht="12.75">
      <c r="B144" s="55">
        <v>10</v>
      </c>
      <c r="C144" s="60">
        <v>10.9</v>
      </c>
      <c r="D144" s="65" t="s">
        <v>32</v>
      </c>
      <c r="E144" s="76" t="s">
        <v>71</v>
      </c>
    </row>
    <row r="145" spans="2:5" ht="12.75">
      <c r="B145" s="55">
        <v>11</v>
      </c>
      <c r="C145" s="60">
        <v>10.7</v>
      </c>
      <c r="D145" s="65" t="s">
        <v>32</v>
      </c>
      <c r="E145" s="76" t="s">
        <v>36</v>
      </c>
    </row>
    <row r="146" spans="2:5" ht="12.75">
      <c r="B146" s="55">
        <v>12</v>
      </c>
      <c r="C146" s="60">
        <v>11.3</v>
      </c>
      <c r="D146" s="65" t="s">
        <v>31</v>
      </c>
      <c r="E146" s="76" t="s">
        <v>71</v>
      </c>
    </row>
    <row r="147" spans="2:5" ht="12.75">
      <c r="B147" s="55">
        <v>13</v>
      </c>
      <c r="C147" s="60">
        <v>10.8</v>
      </c>
      <c r="D147" s="65" t="s">
        <v>32</v>
      </c>
      <c r="E147" s="76" t="s">
        <v>36</v>
      </c>
    </row>
    <row r="148" spans="2:5" ht="12.75">
      <c r="B148" s="55">
        <v>14</v>
      </c>
      <c r="C148" s="60">
        <v>11.8</v>
      </c>
      <c r="D148" s="65" t="s">
        <v>31</v>
      </c>
      <c r="E148" s="76" t="s">
        <v>71</v>
      </c>
    </row>
    <row r="149" spans="2:5" ht="12.75">
      <c r="B149" s="55">
        <v>15</v>
      </c>
      <c r="C149" s="60">
        <v>11.2</v>
      </c>
      <c r="D149" s="65" t="s">
        <v>31</v>
      </c>
      <c r="E149" s="76" t="s">
        <v>36</v>
      </c>
    </row>
    <row r="150" spans="2:5" ht="12.75">
      <c r="B150" s="55">
        <v>16</v>
      </c>
      <c r="C150" s="60">
        <v>11.6</v>
      </c>
      <c r="D150" s="65" t="s">
        <v>31</v>
      </c>
      <c r="E150" s="76" t="s">
        <v>71</v>
      </c>
    </row>
    <row r="151" spans="2:5" ht="12.75">
      <c r="B151" s="55">
        <v>17</v>
      </c>
      <c r="C151" s="60">
        <v>11.2</v>
      </c>
      <c r="D151" s="65" t="s">
        <v>31</v>
      </c>
      <c r="E151" s="76" t="s">
        <v>36</v>
      </c>
    </row>
    <row r="152" spans="2:5" ht="12.75">
      <c r="B152" s="55">
        <v>18</v>
      </c>
      <c r="C152" s="60">
        <v>10.6</v>
      </c>
      <c r="D152" s="65" t="s">
        <v>32</v>
      </c>
      <c r="E152" s="76" t="s">
        <v>36</v>
      </c>
    </row>
    <row r="153" spans="2:5" ht="12.75">
      <c r="B153" s="55">
        <v>19</v>
      </c>
      <c r="C153" s="60">
        <v>10.7</v>
      </c>
      <c r="D153" s="65" t="s">
        <v>32</v>
      </c>
      <c r="E153" s="76" t="s">
        <v>71</v>
      </c>
    </row>
    <row r="154" spans="2:5" ht="13.5" thickBot="1">
      <c r="B154" s="49">
        <v>20</v>
      </c>
      <c r="C154" s="70">
        <v>11.9</v>
      </c>
      <c r="D154" s="64" t="s">
        <v>31</v>
      </c>
      <c r="E154" s="77" t="s">
        <v>71</v>
      </c>
    </row>
    <row r="157" spans="1:6" ht="12.75">
      <c r="A157" s="7" t="s">
        <v>68</v>
      </c>
      <c r="B157" s="30" t="s">
        <v>10</v>
      </c>
      <c r="C157" s="4"/>
      <c r="D157" s="4"/>
      <c r="E157" s="4"/>
      <c r="F157" s="31"/>
    </row>
    <row r="158" spans="2:6" ht="12.75">
      <c r="B158" s="4"/>
      <c r="C158" s="4"/>
      <c r="D158" s="4"/>
      <c r="E158" s="4"/>
      <c r="F158" s="4"/>
    </row>
    <row r="159" spans="2:6" ht="13.5" thickBot="1">
      <c r="B159" s="4"/>
      <c r="C159" s="23"/>
      <c r="D159" s="23"/>
      <c r="E159" s="23"/>
      <c r="F159" s="23"/>
    </row>
    <row r="160" spans="2:6" ht="12.75">
      <c r="B160" s="45"/>
      <c r="C160" s="46" t="s">
        <v>28</v>
      </c>
      <c r="D160" s="47" t="s">
        <v>27</v>
      </c>
      <c r="E160" s="48" t="s">
        <v>34</v>
      </c>
      <c r="F160" s="63"/>
    </row>
    <row r="161" spans="2:6" ht="15" thickBot="1">
      <c r="B161" s="49" t="s">
        <v>27</v>
      </c>
      <c r="C161" s="50" t="s">
        <v>29</v>
      </c>
      <c r="D161" s="51" t="s">
        <v>30</v>
      </c>
      <c r="E161" s="52" t="s">
        <v>35</v>
      </c>
      <c r="F161" s="64" t="s">
        <v>44</v>
      </c>
    </row>
    <row r="162" spans="2:6" ht="12.75">
      <c r="B162" s="53" t="s">
        <v>31</v>
      </c>
      <c r="C162" s="59">
        <v>0.1</v>
      </c>
      <c r="D162" s="18">
        <v>0.6</v>
      </c>
      <c r="E162" s="56">
        <v>0.6</v>
      </c>
      <c r="F162" s="29">
        <v>1</v>
      </c>
    </row>
    <row r="163" spans="2:6" ht="12.75">
      <c r="B163" s="54" t="s">
        <v>32</v>
      </c>
      <c r="C163" s="60">
        <v>0.08</v>
      </c>
      <c r="D163" s="19">
        <v>0.48</v>
      </c>
      <c r="E163" s="57">
        <v>0.6</v>
      </c>
      <c r="F163" s="65">
        <v>1.25</v>
      </c>
    </row>
    <row r="164" spans="2:6" ht="12.75">
      <c r="B164" s="54" t="s">
        <v>33</v>
      </c>
      <c r="C164" s="61">
        <v>0.13</v>
      </c>
      <c r="D164" s="19">
        <v>0.78</v>
      </c>
      <c r="E164" s="57">
        <v>0.6</v>
      </c>
      <c r="F164" s="65">
        <v>0.7692307692307692</v>
      </c>
    </row>
    <row r="165" spans="2:6" ht="12.75">
      <c r="B165" s="55" t="s">
        <v>36</v>
      </c>
      <c r="C165" s="61"/>
      <c r="D165" s="19" t="s">
        <v>50</v>
      </c>
      <c r="E165" s="57"/>
      <c r="F165" s="65" t="s">
        <v>50</v>
      </c>
    </row>
    <row r="166" spans="2:6" ht="13.5" thickBot="1">
      <c r="B166" s="17" t="s">
        <v>37</v>
      </c>
      <c r="C166" s="62"/>
      <c r="D166" s="20" t="s">
        <v>50</v>
      </c>
      <c r="E166" s="58"/>
      <c r="F166" s="64" t="s">
        <v>50</v>
      </c>
    </row>
    <row r="169" spans="1:6" ht="12.75">
      <c r="A169" s="7" t="s">
        <v>83</v>
      </c>
      <c r="B169" s="30" t="s">
        <v>10</v>
      </c>
      <c r="C169" s="4"/>
      <c r="D169" s="4"/>
      <c r="E169" s="4"/>
      <c r="F169" s="31"/>
    </row>
    <row r="170" spans="2:6" ht="12.75">
      <c r="B170" s="4"/>
      <c r="C170" s="4"/>
      <c r="D170" s="4"/>
      <c r="E170" s="4"/>
      <c r="F170" s="4"/>
    </row>
    <row r="171" ht="12.75">
      <c r="B171" s="12" t="s">
        <v>84</v>
      </c>
    </row>
    <row r="172" ht="13.5" thickBot="1"/>
    <row r="173" spans="2:9" ht="12.75">
      <c r="B173" s="45"/>
      <c r="C173" s="90" t="s">
        <v>89</v>
      </c>
      <c r="D173" s="47" t="s">
        <v>28</v>
      </c>
      <c r="E173" s="45" t="s">
        <v>85</v>
      </c>
      <c r="F173" s="90"/>
      <c r="G173" s="45" t="s">
        <v>87</v>
      </c>
      <c r="H173" s="90"/>
      <c r="I173" s="154"/>
    </row>
    <row r="174" spans="2:9" ht="15" thickBot="1">
      <c r="B174" s="49" t="s">
        <v>27</v>
      </c>
      <c r="C174" s="92" t="s">
        <v>0</v>
      </c>
      <c r="D174" s="51" t="s">
        <v>29</v>
      </c>
      <c r="E174" s="49" t="s">
        <v>34</v>
      </c>
      <c r="F174" s="92" t="s">
        <v>86</v>
      </c>
      <c r="G174" s="49" t="s">
        <v>34</v>
      </c>
      <c r="H174" s="92" t="s">
        <v>86</v>
      </c>
      <c r="I174" s="155" t="s">
        <v>88</v>
      </c>
    </row>
    <row r="175" spans="2:9" ht="12.75">
      <c r="B175" s="54" t="s">
        <v>31</v>
      </c>
      <c r="C175" s="161">
        <v>9.2</v>
      </c>
      <c r="D175" s="158">
        <v>0.3</v>
      </c>
      <c r="E175" s="162">
        <v>8</v>
      </c>
      <c r="F175" s="163">
        <v>1.3333333333333326</v>
      </c>
      <c r="G175" s="162">
        <v>10</v>
      </c>
      <c r="H175" s="163">
        <v>0.8888888888888897</v>
      </c>
      <c r="I175" s="90">
        <v>1.3333333333333326</v>
      </c>
    </row>
  </sheetData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2"/>
  <dimension ref="A1:J89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8" customWidth="1"/>
    <col min="2" max="5" width="12.7109375" style="1" customWidth="1"/>
    <col min="6" max="6" width="4.8515625" style="1" customWidth="1"/>
    <col min="7" max="10" width="12.7109375" style="1" customWidth="1"/>
    <col min="11" max="11" width="2.7109375" style="1" customWidth="1"/>
    <col min="12" max="12" width="14.7109375" style="1" customWidth="1"/>
  </cols>
  <sheetData>
    <row r="1" ht="12.75">
      <c r="A1" s="11" t="s">
        <v>54</v>
      </c>
    </row>
    <row r="3" spans="1:9" ht="12.75">
      <c r="A3" s="7" t="s">
        <v>79</v>
      </c>
      <c r="B3" s="140" t="s">
        <v>72</v>
      </c>
      <c r="C3" s="140"/>
      <c r="D3" s="140"/>
      <c r="F3" s="31" t="s">
        <v>69</v>
      </c>
      <c r="G3" s="140" t="s">
        <v>72</v>
      </c>
      <c r="H3" s="140"/>
      <c r="I3" s="140"/>
    </row>
    <row r="4" ht="13.5" thickBot="1"/>
    <row r="5" spans="3:9" ht="12.75">
      <c r="C5" s="141" t="s">
        <v>73</v>
      </c>
      <c r="D5" s="13">
        <v>1</v>
      </c>
      <c r="H5" s="141" t="s">
        <v>73</v>
      </c>
      <c r="I5" s="13">
        <v>1</v>
      </c>
    </row>
    <row r="6" spans="3:9" ht="13.5" thickBot="1">
      <c r="C6" s="143" t="s">
        <v>74</v>
      </c>
      <c r="D6" s="14">
        <v>0.05</v>
      </c>
      <c r="H6" s="143" t="s">
        <v>74</v>
      </c>
      <c r="I6" s="14">
        <f>0.05/SQRT(25)</f>
        <v>0.01</v>
      </c>
    </row>
    <row r="7" spans="3:9" ht="12.75">
      <c r="C7" s="144" t="s">
        <v>75</v>
      </c>
      <c r="D7" s="13">
        <v>1.02</v>
      </c>
      <c r="H7" s="144" t="s">
        <v>75</v>
      </c>
      <c r="I7" s="13">
        <v>1.02</v>
      </c>
    </row>
    <row r="8" spans="3:9" ht="13.5" thickBot="1">
      <c r="C8" s="145" t="s">
        <v>78</v>
      </c>
      <c r="D8" s="147">
        <v>0.1</v>
      </c>
      <c r="H8" s="145" t="s">
        <v>78</v>
      </c>
      <c r="I8" s="147">
        <v>0.1</v>
      </c>
    </row>
    <row r="9" ht="13.5" thickBot="1"/>
    <row r="10" spans="2:9" ht="13.5" thickBot="1">
      <c r="B10" s="4"/>
      <c r="C10" s="146" t="s">
        <v>60</v>
      </c>
      <c r="D10" s="15">
        <v>0.4</v>
      </c>
      <c r="G10" s="4"/>
      <c r="H10" s="146" t="s">
        <v>60</v>
      </c>
      <c r="I10" s="15">
        <v>2</v>
      </c>
    </row>
    <row r="11" spans="3:9" ht="12.75">
      <c r="C11" s="141" t="s">
        <v>76</v>
      </c>
      <c r="D11" s="90">
        <v>0.6554216965868767</v>
      </c>
      <c r="H11" s="141" t="s">
        <v>76</v>
      </c>
      <c r="I11" s="90">
        <v>0.9772499379638132</v>
      </c>
    </row>
    <row r="12" spans="3:9" ht="13.5" thickBot="1">
      <c r="C12" s="142" t="s">
        <v>77</v>
      </c>
      <c r="D12" s="92">
        <v>0.34457830341312334</v>
      </c>
      <c r="H12" s="142" t="s">
        <v>77</v>
      </c>
      <c r="I12" s="92">
        <v>0.02275006203618679</v>
      </c>
    </row>
    <row r="13" ht="13.5" thickBot="1"/>
    <row r="14" spans="2:9" ht="13.5" thickBot="1">
      <c r="B14" s="4"/>
      <c r="C14" s="146" t="s">
        <v>80</v>
      </c>
      <c r="D14" s="15">
        <v>0.6891566068262467</v>
      </c>
      <c r="G14" s="4"/>
      <c r="H14" s="146" t="s">
        <v>80</v>
      </c>
      <c r="I14" s="15">
        <v>0.04550012407237358</v>
      </c>
    </row>
    <row r="17" spans="1:10" ht="12.75">
      <c r="A17" s="7" t="s">
        <v>9</v>
      </c>
      <c r="B17" s="12" t="s">
        <v>43</v>
      </c>
      <c r="C17" s="93"/>
      <c r="D17" s="93"/>
      <c r="E17" s="93"/>
      <c r="G17" s="12" t="s">
        <v>11</v>
      </c>
      <c r="H17" s="4"/>
      <c r="I17" s="4"/>
      <c r="J17" s="4"/>
    </row>
    <row r="18" spans="2:10" ht="13.5" thickBot="1">
      <c r="B18" s="93"/>
      <c r="C18" s="93"/>
      <c r="D18" s="93"/>
      <c r="E18" s="93"/>
      <c r="G18" s="4"/>
      <c r="H18" s="4"/>
      <c r="I18" s="4"/>
      <c r="J18" s="4"/>
    </row>
    <row r="19" spans="2:10" ht="13.5" thickBot="1">
      <c r="B19" s="80" t="s">
        <v>24</v>
      </c>
      <c r="C19" s="83"/>
      <c r="D19" s="84"/>
      <c r="E19" s="26">
        <f>D28</f>
        <v>10.04</v>
      </c>
      <c r="G19" s="4"/>
      <c r="H19" s="4"/>
      <c r="I19" s="4"/>
      <c r="J19" s="4"/>
    </row>
    <row r="20" spans="2:10" ht="12.75">
      <c r="B20" s="94" t="s">
        <v>23</v>
      </c>
      <c r="C20" s="82"/>
      <c r="D20" s="109"/>
      <c r="E20" s="60">
        <f>E28</f>
        <v>0.52</v>
      </c>
      <c r="G20" s="81" t="s">
        <v>23</v>
      </c>
      <c r="H20" s="83"/>
      <c r="I20" s="84"/>
      <c r="J20" s="26">
        <f>I28</f>
        <v>0.52</v>
      </c>
    </row>
    <row r="21" spans="2:10" ht="13.5" thickBot="1">
      <c r="B21" s="85" t="s">
        <v>40</v>
      </c>
      <c r="C21" s="86"/>
      <c r="D21" s="110" t="s">
        <v>59</v>
      </c>
      <c r="E21" s="70">
        <v>4</v>
      </c>
      <c r="G21" s="127" t="s">
        <v>40</v>
      </c>
      <c r="H21" s="86"/>
      <c r="I21" s="110" t="s">
        <v>59</v>
      </c>
      <c r="J21" s="70">
        <v>4</v>
      </c>
    </row>
    <row r="22" spans="2:10" ht="13.5" thickBot="1">
      <c r="B22" s="39"/>
      <c r="C22" s="39"/>
      <c r="D22" s="39"/>
      <c r="E22" s="111"/>
      <c r="G22" s="39"/>
      <c r="H22" s="40"/>
      <c r="I22" s="40"/>
      <c r="J22" s="41"/>
    </row>
    <row r="23" spans="4:10" ht="12.75">
      <c r="D23" s="99" t="s">
        <v>2</v>
      </c>
      <c r="E23" s="18">
        <v>10.4196</v>
      </c>
      <c r="I23" s="99" t="s">
        <v>2</v>
      </c>
      <c r="J23" s="18">
        <v>1.1855999999999998</v>
      </c>
    </row>
    <row r="24" spans="2:10" ht="13.5" thickBot="1">
      <c r="B24" s="42"/>
      <c r="C24" s="43"/>
      <c r="D24" s="100" t="s">
        <v>3</v>
      </c>
      <c r="E24" s="20">
        <v>9.660400000000001</v>
      </c>
      <c r="G24" s="42"/>
      <c r="H24" s="43"/>
      <c r="I24" s="100" t="s">
        <v>3</v>
      </c>
      <c r="J24" s="20">
        <v>0</v>
      </c>
    </row>
    <row r="25" spans="5:10" ht="12.75">
      <c r="E25" s="43"/>
      <c r="I25" s="23"/>
      <c r="J25" s="43"/>
    </row>
    <row r="26" spans="2:10" ht="13.5" thickBot="1">
      <c r="B26" s="4" t="s">
        <v>58</v>
      </c>
      <c r="E26" s="101"/>
      <c r="G26" s="4" t="s">
        <v>58</v>
      </c>
      <c r="J26" s="34"/>
    </row>
    <row r="27" spans="3:10" ht="13.5" thickBot="1">
      <c r="C27" s="42"/>
      <c r="D27" s="112" t="s">
        <v>0</v>
      </c>
      <c r="E27" s="113" t="s">
        <v>1</v>
      </c>
      <c r="H27" s="42"/>
      <c r="I27" s="29" t="s">
        <v>1</v>
      </c>
      <c r="J27" s="34"/>
    </row>
    <row r="28" spans="3:10" ht="13.5" thickBot="1">
      <c r="C28" s="114" t="s">
        <v>14</v>
      </c>
      <c r="D28" s="115">
        <v>10.04</v>
      </c>
      <c r="E28" s="116">
        <v>0.52</v>
      </c>
      <c r="H28" s="78" t="s">
        <v>14</v>
      </c>
      <c r="I28" s="21">
        <v>0.52</v>
      </c>
      <c r="J28" s="23"/>
    </row>
    <row r="29" spans="3:10" ht="13.5" thickBot="1">
      <c r="C29" s="117"/>
      <c r="D29" s="118"/>
      <c r="E29" s="103"/>
      <c r="H29" s="35"/>
      <c r="I29" s="34"/>
      <c r="J29" s="23"/>
    </row>
    <row r="30" spans="3:10" ht="13.5" thickBot="1">
      <c r="C30" s="16" t="s">
        <v>13</v>
      </c>
      <c r="D30" s="119" t="s">
        <v>0</v>
      </c>
      <c r="E30" s="120" t="s">
        <v>1</v>
      </c>
      <c r="H30" s="16" t="s">
        <v>13</v>
      </c>
      <c r="I30" s="21" t="s">
        <v>1</v>
      </c>
      <c r="J30" s="23"/>
    </row>
    <row r="31" spans="3:10" ht="12.75">
      <c r="C31" s="121">
        <v>1</v>
      </c>
      <c r="D31" s="26">
        <f>AVERAGE(10.2,9.9,9.8,10.1)</f>
        <v>10</v>
      </c>
      <c r="E31" s="26">
        <f>10.2-9.8</f>
        <v>0.3999999999999986</v>
      </c>
      <c r="H31" s="90">
        <v>1</v>
      </c>
      <c r="I31" s="26">
        <f>10.2-9.8</f>
        <v>0.3999999999999986</v>
      </c>
      <c r="J31" s="23"/>
    </row>
    <row r="32" spans="3:10" ht="12.75">
      <c r="C32" s="122">
        <v>2</v>
      </c>
      <c r="D32" s="60">
        <f>AVERAGE(10.3,9.8,9.9,10.4)</f>
        <v>10.1</v>
      </c>
      <c r="E32" s="60">
        <f>10.4-9.8</f>
        <v>0.5999999999999996</v>
      </c>
      <c r="H32" s="91">
        <v>2</v>
      </c>
      <c r="I32" s="60">
        <f>10.4-9.8</f>
        <v>0.5999999999999996</v>
      </c>
      <c r="J32" s="23"/>
    </row>
    <row r="33" spans="3:10" ht="12.75">
      <c r="C33" s="122">
        <v>3</v>
      </c>
      <c r="D33" s="60">
        <f>AVERAGE(9.7,9.9,9.9,10.1)</f>
        <v>9.9</v>
      </c>
      <c r="E33" s="60">
        <f>10.1-9.7</f>
        <v>0.40000000000000036</v>
      </c>
      <c r="H33" s="91">
        <v>3</v>
      </c>
      <c r="I33" s="60">
        <f>10.1-9.7</f>
        <v>0.40000000000000036</v>
      </c>
      <c r="J33" s="23"/>
    </row>
    <row r="34" spans="3:10" ht="12.75">
      <c r="C34" s="122">
        <v>4</v>
      </c>
      <c r="D34" s="60">
        <f>AVERAGE(9.9,10.3,10.1,10.5)</f>
        <v>10.200000000000001</v>
      </c>
      <c r="E34" s="60">
        <f>10.5-9.9</f>
        <v>0.5999999999999996</v>
      </c>
      <c r="H34" s="91">
        <v>4</v>
      </c>
      <c r="I34" s="60">
        <f>10.5-9.9</f>
        <v>0.5999999999999996</v>
      </c>
      <c r="J34" s="23"/>
    </row>
    <row r="35" spans="3:10" ht="12.75">
      <c r="C35" s="122">
        <v>5</v>
      </c>
      <c r="D35" s="60">
        <f>AVERAGE(9.8,10.2,10.3,9.7)</f>
        <v>10</v>
      </c>
      <c r="E35" s="60">
        <f>10.3-9.7</f>
        <v>0.6000000000000014</v>
      </c>
      <c r="H35" s="91">
        <v>5</v>
      </c>
      <c r="I35" s="60">
        <f>10.3-9.7</f>
        <v>0.6000000000000014</v>
      </c>
      <c r="J35" s="23"/>
    </row>
    <row r="36" spans="3:6" ht="12.75">
      <c r="C36"/>
      <c r="D36"/>
      <c r="E36"/>
      <c r="F36"/>
    </row>
    <row r="37" spans="3:6" ht="12.75">
      <c r="C37"/>
      <c r="D37"/>
      <c r="E37"/>
      <c r="F37"/>
    </row>
    <row r="38" spans="1:9" ht="12.75">
      <c r="A38" s="7" t="s">
        <v>81</v>
      </c>
      <c r="B38" s="140" t="s">
        <v>72</v>
      </c>
      <c r="C38" s="140"/>
      <c r="D38" s="140"/>
      <c r="E38"/>
      <c r="F38" s="8" t="s">
        <v>69</v>
      </c>
      <c r="G38" s="140" t="s">
        <v>72</v>
      </c>
      <c r="H38" s="140"/>
      <c r="I38" s="140"/>
    </row>
    <row r="39" spans="5:6" ht="13.5" thickBot="1">
      <c r="E39"/>
      <c r="F39"/>
    </row>
    <row r="40" spans="3:9" ht="12.75">
      <c r="C40" s="141" t="s">
        <v>73</v>
      </c>
      <c r="D40" s="13">
        <v>0</v>
      </c>
      <c r="E40"/>
      <c r="F40"/>
      <c r="H40" s="141" t="s">
        <v>73</v>
      </c>
      <c r="I40" s="13">
        <v>0</v>
      </c>
    </row>
    <row r="41" spans="3:9" ht="13.5" thickBot="1">
      <c r="C41" s="143" t="s">
        <v>74</v>
      </c>
      <c r="D41" s="14">
        <v>1</v>
      </c>
      <c r="E41"/>
      <c r="F41"/>
      <c r="H41" s="143" t="s">
        <v>74</v>
      </c>
      <c r="I41" s="14">
        <v>1</v>
      </c>
    </row>
    <row r="42" spans="3:9" ht="12.75">
      <c r="C42" s="144" t="s">
        <v>75</v>
      </c>
      <c r="D42" s="13">
        <v>1.9</v>
      </c>
      <c r="E42"/>
      <c r="F42"/>
      <c r="H42" s="144" t="s">
        <v>75</v>
      </c>
      <c r="I42" s="13">
        <v>2.3263118721304377</v>
      </c>
    </row>
    <row r="43" spans="3:9" ht="13.5" thickBot="1">
      <c r="C43" s="145" t="s">
        <v>78</v>
      </c>
      <c r="D43" s="147">
        <v>0.1</v>
      </c>
      <c r="E43"/>
      <c r="F43"/>
      <c r="H43" s="145" t="s">
        <v>78</v>
      </c>
      <c r="I43" s="147">
        <v>0.001</v>
      </c>
    </row>
    <row r="44" spans="5:6" ht="13.5" thickBot="1">
      <c r="E44"/>
      <c r="F44"/>
    </row>
    <row r="45" spans="2:9" ht="13.5" thickBot="1">
      <c r="B45" s="4"/>
      <c r="C45" s="146" t="s">
        <v>60</v>
      </c>
      <c r="D45" s="15">
        <v>1.9</v>
      </c>
      <c r="E45"/>
      <c r="F45"/>
      <c r="G45" s="4"/>
      <c r="H45" s="146" t="s">
        <v>60</v>
      </c>
      <c r="I45" s="15">
        <v>2.3263118721304377</v>
      </c>
    </row>
    <row r="46" spans="3:9" ht="12.75">
      <c r="C46" s="141" t="s">
        <v>76</v>
      </c>
      <c r="D46" s="90">
        <v>0.9712835071354275</v>
      </c>
      <c r="E46"/>
      <c r="F46"/>
      <c r="H46" s="141" t="s">
        <v>76</v>
      </c>
      <c r="I46" s="90">
        <v>0.9899990637363012</v>
      </c>
    </row>
    <row r="47" spans="3:9" ht="13.5" thickBot="1">
      <c r="C47" s="142" t="s">
        <v>77</v>
      </c>
      <c r="D47" s="92">
        <v>0.02871649286457245</v>
      </c>
      <c r="E47"/>
      <c r="F47"/>
      <c r="H47" s="142" t="s">
        <v>77</v>
      </c>
      <c r="I47" s="92">
        <v>0.0100009362636988</v>
      </c>
    </row>
    <row r="48" spans="5:6" ht="13.5" thickBot="1">
      <c r="E48"/>
      <c r="F48"/>
    </row>
    <row r="49" spans="2:9" ht="13.5" thickBot="1">
      <c r="B49" s="4"/>
      <c r="C49" s="146" t="s">
        <v>80</v>
      </c>
      <c r="D49" s="15">
        <v>0.0574329857291449</v>
      </c>
      <c r="E49"/>
      <c r="F49"/>
      <c r="G49" s="4"/>
      <c r="H49" s="146" t="s">
        <v>80</v>
      </c>
      <c r="I49" s="15">
        <v>0.0200018725273976</v>
      </c>
    </row>
    <row r="50" spans="2:6" ht="12.75">
      <c r="B50" s="4"/>
      <c r="C50" s="33"/>
      <c r="D50" s="28"/>
      <c r="E50"/>
      <c r="F50"/>
    </row>
    <row r="51" spans="3:6" ht="12.75">
      <c r="C51" s="33"/>
      <c r="D51" s="28"/>
      <c r="E51"/>
      <c r="F51"/>
    </row>
    <row r="52" spans="1:10" ht="12.75">
      <c r="A52" s="7" t="s">
        <v>70</v>
      </c>
      <c r="B52" s="12" t="s">
        <v>16</v>
      </c>
      <c r="C52" s="4"/>
      <c r="D52" s="4"/>
      <c r="E52" s="4"/>
      <c r="F52" s="7" t="s">
        <v>69</v>
      </c>
      <c r="G52" s="12" t="s">
        <v>15</v>
      </c>
      <c r="H52" s="4"/>
      <c r="I52" s="4"/>
      <c r="J52" s="4"/>
    </row>
    <row r="53" spans="2:10" ht="12.75">
      <c r="B53" s="4"/>
      <c r="C53" s="4"/>
      <c r="D53" s="4"/>
      <c r="E53" s="4"/>
      <c r="F53"/>
      <c r="G53" s="4"/>
      <c r="H53" s="4"/>
      <c r="I53" s="4"/>
      <c r="J53" s="4"/>
    </row>
    <row r="54" spans="2:10" ht="13.5" thickBot="1">
      <c r="B54" s="4"/>
      <c r="C54" s="4"/>
      <c r="D54" s="4"/>
      <c r="E54" s="4"/>
      <c r="F54"/>
      <c r="G54" s="4"/>
      <c r="H54" s="4"/>
      <c r="I54" s="4"/>
      <c r="J54" s="4"/>
    </row>
    <row r="55" spans="2:10" ht="13.5" thickBot="1">
      <c r="B55" s="4"/>
      <c r="C55" s="4"/>
      <c r="D55" s="4"/>
      <c r="E55" s="4"/>
      <c r="F55"/>
      <c r="G55" s="81" t="s">
        <v>57</v>
      </c>
      <c r="H55" s="83"/>
      <c r="I55" s="83"/>
      <c r="J55" s="26">
        <v>0.04</v>
      </c>
    </row>
    <row r="56" spans="2:10" ht="12.75">
      <c r="B56" s="81" t="s">
        <v>56</v>
      </c>
      <c r="C56" s="83"/>
      <c r="D56" s="83"/>
      <c r="E56" s="26">
        <v>3.9</v>
      </c>
      <c r="F56"/>
      <c r="G56" s="128" t="s">
        <v>40</v>
      </c>
      <c r="H56" s="82"/>
      <c r="I56" s="33" t="s">
        <v>59</v>
      </c>
      <c r="J56" s="60">
        <v>100</v>
      </c>
    </row>
    <row r="57" spans="2:10" ht="12.75">
      <c r="B57" s="73"/>
      <c r="C57" s="82"/>
      <c r="D57" s="33" t="s">
        <v>60</v>
      </c>
      <c r="E57" s="60">
        <v>2</v>
      </c>
      <c r="F57"/>
      <c r="G57" s="128"/>
      <c r="H57" s="82"/>
      <c r="I57" s="33" t="s">
        <v>60</v>
      </c>
      <c r="J57" s="60">
        <v>2</v>
      </c>
    </row>
    <row r="58" spans="2:10" ht="13.5" thickBot="1">
      <c r="B58" s="85"/>
      <c r="C58" s="86"/>
      <c r="D58" s="98" t="s">
        <v>61</v>
      </c>
      <c r="E58" s="70">
        <v>0.1</v>
      </c>
      <c r="F58"/>
      <c r="G58" s="85"/>
      <c r="H58" s="129"/>
      <c r="I58" s="98" t="s">
        <v>61</v>
      </c>
      <c r="J58" s="70">
        <v>0.1</v>
      </c>
    </row>
    <row r="59" ht="13.5" thickBot="1">
      <c r="F59"/>
    </row>
    <row r="60" spans="4:10" ht="12.75">
      <c r="D60" s="87" t="s">
        <v>2</v>
      </c>
      <c r="E60" s="18">
        <v>7.849683531626299</v>
      </c>
      <c r="F60"/>
      <c r="I60" s="99" t="s">
        <v>2</v>
      </c>
      <c r="J60" s="18">
        <v>0.07919183588453085</v>
      </c>
    </row>
    <row r="61" spans="2:10" ht="13.5" thickBot="1">
      <c r="B61" s="42"/>
      <c r="C61" s="43"/>
      <c r="D61" s="88" t="s">
        <v>3</v>
      </c>
      <c r="E61" s="20">
        <v>0</v>
      </c>
      <c r="F61"/>
      <c r="G61" s="42"/>
      <c r="H61" s="43"/>
      <c r="I61" s="100" t="s">
        <v>3</v>
      </c>
      <c r="J61" s="20">
        <v>0.0008081641154691552</v>
      </c>
    </row>
    <row r="62" spans="3:6" ht="12.75">
      <c r="C62"/>
      <c r="D62"/>
      <c r="E62"/>
      <c r="F62"/>
    </row>
    <row r="63" spans="3:6" ht="12.75">
      <c r="C63"/>
      <c r="D63"/>
      <c r="E63"/>
      <c r="F63"/>
    </row>
    <row r="64" spans="1:6" ht="12.75">
      <c r="A64" s="7" t="s">
        <v>63</v>
      </c>
      <c r="B64" s="12" t="s">
        <v>22</v>
      </c>
      <c r="C64" s="4"/>
      <c r="D64" s="4"/>
      <c r="E64" s="4"/>
      <c r="F64"/>
    </row>
    <row r="65" spans="2:6" ht="13.5" thickBot="1">
      <c r="B65" s="4"/>
      <c r="C65" s="4"/>
      <c r="D65" s="4"/>
      <c r="E65" s="4"/>
      <c r="F65"/>
    </row>
    <row r="66" spans="2:6" ht="12.75">
      <c r="B66" s="66"/>
      <c r="C66" s="67" t="s">
        <v>38</v>
      </c>
      <c r="D66" s="26">
        <v>11</v>
      </c>
      <c r="E66" s="23"/>
      <c r="F66"/>
    </row>
    <row r="67" spans="2:6" ht="13.5" thickBot="1">
      <c r="B67" s="68"/>
      <c r="C67" s="69" t="s">
        <v>39</v>
      </c>
      <c r="D67" s="70">
        <f>C76</f>
        <v>21</v>
      </c>
      <c r="E67" s="23"/>
      <c r="F67"/>
    </row>
    <row r="68" spans="2:6" ht="13.5" thickBot="1">
      <c r="B68" s="4"/>
      <c r="C68" s="23"/>
      <c r="D68" s="23"/>
      <c r="E68" s="23"/>
      <c r="F68"/>
    </row>
    <row r="69" spans="2:6" ht="13.5" thickBot="1">
      <c r="B69" s="4"/>
      <c r="C69" s="23"/>
      <c r="D69" s="71" t="s">
        <v>19</v>
      </c>
      <c r="E69" s="72" t="s">
        <v>21</v>
      </c>
      <c r="F69"/>
    </row>
    <row r="70" spans="2:6" ht="12.75">
      <c r="B70" s="134" t="s">
        <v>66</v>
      </c>
      <c r="C70" s="139"/>
      <c r="D70" s="29">
        <v>6.5</v>
      </c>
      <c r="E70" s="75">
        <v>7</v>
      </c>
      <c r="F70"/>
    </row>
    <row r="71" spans="2:6" ht="12.75">
      <c r="B71" s="135" t="s">
        <v>25</v>
      </c>
      <c r="C71" s="138" t="s">
        <v>62</v>
      </c>
      <c r="D71" s="65">
        <v>1.5811388300841898</v>
      </c>
      <c r="E71" s="76">
        <v>1.2780193008453875</v>
      </c>
      <c r="F71"/>
    </row>
    <row r="72" spans="2:6" ht="12.75">
      <c r="B72" s="135" t="s">
        <v>26</v>
      </c>
      <c r="C72" s="109"/>
      <c r="D72" s="65">
        <v>7</v>
      </c>
      <c r="E72" s="76">
        <v>8</v>
      </c>
      <c r="F72"/>
    </row>
    <row r="73" spans="2:6" ht="12.75">
      <c r="B73" s="136"/>
      <c r="C73" s="74" t="s">
        <v>64</v>
      </c>
      <c r="D73" s="65">
        <v>0.31622776601683794</v>
      </c>
      <c r="E73" s="76">
        <v>0.7824607964359517</v>
      </c>
      <c r="F73"/>
    </row>
    <row r="74" spans="2:6" ht="13.5" thickBot="1">
      <c r="B74" s="137"/>
      <c r="C74" s="69" t="s">
        <v>65</v>
      </c>
      <c r="D74" s="64">
        <v>0.24817023547168104</v>
      </c>
      <c r="E74" s="77">
        <v>0.5660563200301332</v>
      </c>
      <c r="F74"/>
    </row>
    <row r="75" spans="2:6" ht="13.5" thickBot="1">
      <c r="B75" s="4"/>
      <c r="C75" s="23"/>
      <c r="D75" s="23"/>
      <c r="E75" s="23"/>
      <c r="F75"/>
    </row>
    <row r="76" spans="2:6" ht="13.5" thickBot="1">
      <c r="B76" s="78" t="s">
        <v>19</v>
      </c>
      <c r="C76" s="21">
        <v>21</v>
      </c>
      <c r="D76" s="23"/>
      <c r="E76" s="23"/>
      <c r="F76"/>
    </row>
    <row r="77" spans="2:6" ht="13.5" thickBot="1">
      <c r="B77" s="35"/>
      <c r="C77" s="27"/>
      <c r="D77" s="34"/>
      <c r="E77" s="34"/>
      <c r="F77"/>
    </row>
    <row r="78" spans="2:6" ht="13.5" thickBot="1">
      <c r="B78" s="16" t="s">
        <v>13</v>
      </c>
      <c r="C78" s="21" t="s">
        <v>0</v>
      </c>
      <c r="D78" s="21" t="s">
        <v>20</v>
      </c>
      <c r="E78" s="79" t="s">
        <v>21</v>
      </c>
      <c r="F78"/>
    </row>
    <row r="79" spans="2:5" ht="12.75">
      <c r="B79" s="45">
        <v>1</v>
      </c>
      <c r="C79" s="26">
        <v>22</v>
      </c>
      <c r="D79" s="29" t="s">
        <v>31</v>
      </c>
      <c r="E79" s="75"/>
    </row>
    <row r="80" spans="2:5" ht="12.75">
      <c r="B80" s="55">
        <v>2</v>
      </c>
      <c r="C80" s="60">
        <v>17</v>
      </c>
      <c r="D80" s="65" t="s">
        <v>32</v>
      </c>
      <c r="E80" s="76" t="s">
        <v>36</v>
      </c>
    </row>
    <row r="81" spans="2:5" ht="12.75">
      <c r="B81" s="55">
        <v>3</v>
      </c>
      <c r="C81" s="60">
        <v>19</v>
      </c>
      <c r="D81" s="65" t="s">
        <v>32</v>
      </c>
      <c r="E81" s="76" t="s">
        <v>71</v>
      </c>
    </row>
    <row r="82" spans="2:5" ht="12.75">
      <c r="B82" s="55">
        <v>4</v>
      </c>
      <c r="C82" s="60">
        <v>25</v>
      </c>
      <c r="D82" s="65" t="s">
        <v>31</v>
      </c>
      <c r="E82" s="76" t="s">
        <v>71</v>
      </c>
    </row>
    <row r="83" spans="2:5" ht="12.75">
      <c r="B83" s="55">
        <v>5</v>
      </c>
      <c r="C83" s="60">
        <v>18</v>
      </c>
      <c r="D83" s="65" t="s">
        <v>32</v>
      </c>
      <c r="E83" s="76" t="s">
        <v>36</v>
      </c>
    </row>
    <row r="84" spans="2:5" ht="12.75">
      <c r="B84" s="55">
        <v>6</v>
      </c>
      <c r="C84" s="60">
        <v>20</v>
      </c>
      <c r="D84" s="65" t="s">
        <v>32</v>
      </c>
      <c r="E84" s="76" t="s">
        <v>71</v>
      </c>
    </row>
    <row r="85" spans="2:5" ht="12.75">
      <c r="B85" s="55">
        <v>7</v>
      </c>
      <c r="C85" s="60">
        <v>21</v>
      </c>
      <c r="D85" s="65" t="s">
        <v>50</v>
      </c>
      <c r="E85" s="76" t="s">
        <v>71</v>
      </c>
    </row>
    <row r="86" spans="2:5" ht="12.75">
      <c r="B86" s="55">
        <v>8</v>
      </c>
      <c r="C86" s="60">
        <v>17</v>
      </c>
      <c r="D86" s="65" t="s">
        <v>32</v>
      </c>
      <c r="E86" s="76" t="s">
        <v>36</v>
      </c>
    </row>
    <row r="87" spans="2:5" ht="12.75">
      <c r="B87" s="55">
        <v>9</v>
      </c>
      <c r="C87" s="60">
        <v>23</v>
      </c>
      <c r="D87" s="65" t="s">
        <v>31</v>
      </c>
      <c r="E87" s="76" t="s">
        <v>71</v>
      </c>
    </row>
    <row r="88" spans="2:5" ht="12.75">
      <c r="B88" s="55">
        <v>10</v>
      </c>
      <c r="C88" s="60">
        <v>23</v>
      </c>
      <c r="D88" s="65" t="s">
        <v>31</v>
      </c>
      <c r="E88" s="76" t="s">
        <v>50</v>
      </c>
    </row>
    <row r="89" spans="2:5" ht="12.75">
      <c r="B89" s="55">
        <v>11</v>
      </c>
      <c r="C89" s="60">
        <v>24</v>
      </c>
      <c r="D89" s="65" t="s">
        <v>31</v>
      </c>
      <c r="E89" s="76" t="s">
        <v>71</v>
      </c>
    </row>
  </sheetData>
  <conditionalFormatting sqref="D7 D42 I7 I42">
    <cfRule type="expression" priority="1" dxfId="0" stopIfTrue="1">
      <formula>C10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J22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1" customWidth="1"/>
    <col min="5" max="10" width="9.28125" style="1" customWidth="1"/>
    <col min="11" max="16384" width="9.140625" style="1" customWidth="1"/>
  </cols>
  <sheetData>
    <row r="1" spans="1:10" ht="12.75">
      <c r="A1" s="30" t="s">
        <v>72</v>
      </c>
      <c r="B1" s="140"/>
      <c r="C1" s="140"/>
      <c r="D1" s="22"/>
      <c r="E1" s="140"/>
      <c r="F1" s="140"/>
      <c r="G1" s="140"/>
      <c r="H1" s="140"/>
      <c r="I1" s="140"/>
      <c r="J1" s="140"/>
    </row>
    <row r="2" ht="13.5" thickBot="1">
      <c r="D2" s="3"/>
    </row>
    <row r="3" spans="2:4" ht="12.75">
      <c r="B3" s="141" t="s">
        <v>73</v>
      </c>
      <c r="C3" s="13">
        <v>0</v>
      </c>
      <c r="D3" s="3"/>
    </row>
    <row r="4" spans="2:6" ht="13.5" thickBot="1">
      <c r="B4" s="143" t="s">
        <v>74</v>
      </c>
      <c r="C4" s="14">
        <v>1</v>
      </c>
      <c r="D4" s="3"/>
      <c r="E4" s="1">
        <f>+C3-3.5*C4</f>
        <v>-3.5</v>
      </c>
      <c r="F4" s="1">
        <f aca="true" t="shared" si="0" ref="F4:F14">NORMDIST(E4,$C$3,$C$4,FALSE)</f>
        <v>0.0008726826950457599</v>
      </c>
    </row>
    <row r="5" spans="2:6" ht="12.75">
      <c r="B5" s="144" t="s">
        <v>75</v>
      </c>
      <c r="C5" s="13">
        <v>3.011403756035119</v>
      </c>
      <c r="E5" s="1">
        <f aca="true" t="shared" si="1" ref="E5:E14">+E4+0.1*7*$C$4</f>
        <v>-2.8</v>
      </c>
      <c r="F5" s="1">
        <f t="shared" si="0"/>
        <v>0.007915451582979967</v>
      </c>
    </row>
    <row r="6" spans="2:6" ht="13.5" thickBot="1">
      <c r="B6" s="145" t="s">
        <v>78</v>
      </c>
      <c r="C6" s="147">
        <v>0.0001</v>
      </c>
      <c r="E6" s="1">
        <f t="shared" si="1"/>
        <v>-2.0999999999999996</v>
      </c>
      <c r="F6" s="1">
        <f t="shared" si="0"/>
        <v>0.043983595980427226</v>
      </c>
    </row>
    <row r="7" spans="4:6" ht="13.5" thickBot="1">
      <c r="D7" s="3"/>
      <c r="E7" s="1">
        <f t="shared" si="1"/>
        <v>-1.3999999999999995</v>
      </c>
      <c r="F7" s="1">
        <f t="shared" si="0"/>
        <v>0.14972746563574496</v>
      </c>
    </row>
    <row r="8" spans="1:6" ht="13.5" thickBot="1">
      <c r="A8" s="4"/>
      <c r="B8" s="146" t="s">
        <v>60</v>
      </c>
      <c r="C8" s="15">
        <f>(counter14-C3)/C4</f>
        <v>3.011403756035119</v>
      </c>
      <c r="D8" s="3"/>
      <c r="E8" s="1">
        <f t="shared" si="1"/>
        <v>-0.6999999999999994</v>
      </c>
      <c r="F8" s="1">
        <f t="shared" si="0"/>
        <v>0.3122539333667614</v>
      </c>
    </row>
    <row r="9" spans="2:6" ht="12.75">
      <c r="B9" s="141" t="s">
        <v>76</v>
      </c>
      <c r="C9" s="90">
        <f>NORMDIST(counter14,C3,C4,TRUE)</f>
        <v>0.9986997166580444</v>
      </c>
      <c r="D9" s="3"/>
      <c r="E9" s="1">
        <f t="shared" si="1"/>
        <v>0</v>
      </c>
      <c r="F9" s="1">
        <f t="shared" si="0"/>
        <v>0.39894228040143265</v>
      </c>
    </row>
    <row r="10" spans="2:6" ht="13.5" thickBot="1">
      <c r="B10" s="142" t="s">
        <v>77</v>
      </c>
      <c r="C10" s="92">
        <f>1-C9</f>
        <v>0.0013002833419556437</v>
      </c>
      <c r="D10" s="3"/>
      <c r="E10" s="1">
        <f t="shared" si="1"/>
        <v>0.7000000000000001</v>
      </c>
      <c r="F10" s="1">
        <f t="shared" si="0"/>
        <v>0.3122539333667612</v>
      </c>
    </row>
    <row r="11" spans="4:6" ht="13.5" thickBot="1">
      <c r="D11" s="3"/>
      <c r="E11" s="1">
        <f t="shared" si="1"/>
        <v>1.4000000000000001</v>
      </c>
      <c r="F11" s="1">
        <f t="shared" si="0"/>
        <v>0.14972746563574482</v>
      </c>
    </row>
    <row r="12" spans="1:6" ht="13.5" thickBot="1">
      <c r="A12" s="4"/>
      <c r="B12" s="146" t="s">
        <v>80</v>
      </c>
      <c r="C12" s="15">
        <f>2*MIN(C9:C10)</f>
        <v>0.0026005666839112873</v>
      </c>
      <c r="D12" s="3"/>
      <c r="E12" s="1">
        <f t="shared" si="1"/>
        <v>2.1</v>
      </c>
      <c r="F12" s="1">
        <f t="shared" si="0"/>
        <v>0.043983595980427184</v>
      </c>
    </row>
    <row r="13" spans="5:6" ht="12.75">
      <c r="E13" s="1">
        <f t="shared" si="1"/>
        <v>2.8000000000000003</v>
      </c>
      <c r="F13" s="1">
        <f t="shared" si="0"/>
        <v>0.007915451582979956</v>
      </c>
    </row>
    <row r="14" spans="5:6" ht="12.75">
      <c r="E14" s="1">
        <f t="shared" si="1"/>
        <v>3.5000000000000004</v>
      </c>
      <c r="F14" s="1">
        <f t="shared" si="0"/>
        <v>0.0008726826950457584</v>
      </c>
    </row>
    <row r="15" spans="1:7" ht="12.75">
      <c r="A15" s="4" t="s">
        <v>82</v>
      </c>
      <c r="E15" s="1">
        <f>counter14</f>
        <v>3.011403756035119</v>
      </c>
      <c r="G15" s="1">
        <v>0</v>
      </c>
    </row>
    <row r="16" spans="5:7" ht="13.5" thickBot="1">
      <c r="E16" s="1">
        <f>E15</f>
        <v>3.011403756035119</v>
      </c>
      <c r="G16" s="1">
        <f>NORMDIST(C3,C3,C4,FALSE)</f>
        <v>0.39894228040143265</v>
      </c>
    </row>
    <row r="17" spans="1:3" ht="12.75">
      <c r="A17" s="5"/>
      <c r="B17" s="141" t="s">
        <v>73</v>
      </c>
      <c r="C17" s="13">
        <v>1</v>
      </c>
    </row>
    <row r="18" spans="2:3" ht="13.5" thickBot="1">
      <c r="B18" s="143" t="s">
        <v>74</v>
      </c>
      <c r="C18" s="14">
        <v>0.01</v>
      </c>
    </row>
    <row r="19" spans="2:3" ht="13.5" thickBot="1">
      <c r="B19" s="146" t="s">
        <v>80</v>
      </c>
      <c r="C19" s="148">
        <v>0.05</v>
      </c>
    </row>
    <row r="20" ht="13.5" thickBot="1"/>
    <row r="21" spans="2:3" ht="13.5" thickBot="1">
      <c r="B21" s="141" t="s">
        <v>60</v>
      </c>
      <c r="C21" s="90">
        <f>ABS(NORMSINV(C19/2))</f>
        <v>1.9599610823206604</v>
      </c>
    </row>
    <row r="22" spans="2:4" ht="13.5" thickBot="1">
      <c r="B22" s="146" t="s">
        <v>75</v>
      </c>
      <c r="C22" s="15">
        <f>C17-C18*C21</f>
        <v>0.9804003891767934</v>
      </c>
      <c r="D22" s="15">
        <f>C17+C18*C21</f>
        <v>1.0195996108232066</v>
      </c>
    </row>
  </sheetData>
  <sheetProtection password="A753" sheet="1" objects="1" scenarios="1"/>
  <conditionalFormatting sqref="C5">
    <cfRule type="expression" priority="1" dxfId="0" stopIfTrue="1">
      <formula>B8</formula>
    </cfRule>
  </conditionalFormatting>
  <printOptions gridLines="1"/>
  <pageMargins left="0.75" right="0.75" top="1" bottom="1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J56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1" customWidth="1"/>
    <col min="5" max="10" width="9.140625" style="1" customWidth="1"/>
    <col min="11" max="11" width="9.7109375" style="1" customWidth="1"/>
    <col min="12" max="16384" width="9.140625" style="1" customWidth="1"/>
  </cols>
  <sheetData>
    <row r="1" spans="1:4" ht="12.75">
      <c r="A1" s="12" t="s">
        <v>42</v>
      </c>
      <c r="B1" s="93"/>
      <c r="C1" s="93"/>
      <c r="D1" s="93"/>
    </row>
    <row r="2" spans="1:4" ht="13.5" thickBot="1">
      <c r="A2" s="93"/>
      <c r="B2" s="93"/>
      <c r="C2" s="93"/>
      <c r="D2" s="93"/>
    </row>
    <row r="3" spans="1:4" ht="12.75">
      <c r="A3" s="80" t="s">
        <v>24</v>
      </c>
      <c r="B3" s="83"/>
      <c r="C3" s="83"/>
      <c r="D3" s="26">
        <v>12.11</v>
      </c>
    </row>
    <row r="4" spans="1:9" ht="12.75">
      <c r="A4" s="94" t="s">
        <v>41</v>
      </c>
      <c r="B4" s="82"/>
      <c r="C4" s="130" t="s">
        <v>62</v>
      </c>
      <c r="D4" s="60">
        <v>0.02</v>
      </c>
      <c r="G4" s="36" t="str">
        <f>"UCL = "&amp;TEXT(D9,"#,##0.0000")</f>
        <v>UCL = 12.1368</v>
      </c>
      <c r="H4" s="36" t="str">
        <f>"AVE = "&amp;TEXT(D3,"#,##0.0000")</f>
        <v>AVE = 12.1100</v>
      </c>
      <c r="I4" s="36" t="str">
        <f>"LCL = "&amp;TEXT(D10,"#,##0.0000")</f>
        <v>LCL = 12.0832</v>
      </c>
    </row>
    <row r="5" spans="1:10" ht="12.75">
      <c r="A5" s="94" t="s">
        <v>40</v>
      </c>
      <c r="B5" s="82"/>
      <c r="C5" s="33" t="s">
        <v>59</v>
      </c>
      <c r="D5" s="60">
        <v>5</v>
      </c>
      <c r="E5" s="1">
        <v>1</v>
      </c>
      <c r="F5" s="1">
        <f>D3+4*D4/SQRT(D5)</f>
        <v>12.145777087639996</v>
      </c>
      <c r="G5" s="37">
        <f>D9</f>
        <v>12.136832815729997</v>
      </c>
      <c r="H5" s="37">
        <f>D3</f>
        <v>12.11</v>
      </c>
      <c r="I5" s="37">
        <f>D10</f>
        <v>12.083167184270001</v>
      </c>
      <c r="J5" s="1">
        <f>MAX(D3-4*D4/SQRT(D5),0)</f>
        <v>12.074222912360003</v>
      </c>
    </row>
    <row r="6" spans="1:10" ht="12.75">
      <c r="A6" s="95"/>
      <c r="B6" s="96"/>
      <c r="C6" s="33" t="s">
        <v>60</v>
      </c>
      <c r="D6" s="60">
        <v>3</v>
      </c>
      <c r="E6" s="1">
        <v>20</v>
      </c>
      <c r="F6" s="1">
        <f>F$5</f>
        <v>12.145777087639996</v>
      </c>
      <c r="G6" s="37">
        <f>G$5</f>
        <v>12.136832815729997</v>
      </c>
      <c r="H6" s="37">
        <f>H$5</f>
        <v>12.11</v>
      </c>
      <c r="I6" s="37">
        <f>I$5</f>
        <v>12.083167184270001</v>
      </c>
      <c r="J6" s="1">
        <f>J$5</f>
        <v>12.074222912360003</v>
      </c>
    </row>
    <row r="7" spans="1:9" ht="13.5" thickBot="1">
      <c r="A7" s="85"/>
      <c r="B7" s="97"/>
      <c r="C7" s="98" t="s">
        <v>61</v>
      </c>
      <c r="D7" s="70">
        <v>0.1</v>
      </c>
      <c r="G7" s="37"/>
      <c r="H7" s="37"/>
      <c r="I7" s="37"/>
    </row>
    <row r="8" spans="7:9" ht="13.5" thickBot="1">
      <c r="G8" s="37"/>
      <c r="H8" s="37"/>
      <c r="I8" s="37"/>
    </row>
    <row r="9" spans="3:9" ht="12.75">
      <c r="C9" s="99" t="s">
        <v>2</v>
      </c>
      <c r="D9" s="18">
        <f>IF(D5&gt;0,D3+D6*D4/SQRT(D5),"")</f>
        <v>12.136832815729997</v>
      </c>
      <c r="G9" s="37"/>
      <c r="H9" s="37"/>
      <c r="I9" s="37"/>
    </row>
    <row r="10" spans="1:9" ht="13.5" thickBot="1">
      <c r="A10" s="42"/>
      <c r="B10" s="43"/>
      <c r="C10" s="100" t="s">
        <v>3</v>
      </c>
      <c r="D10" s="20">
        <f>IF(D5&gt;0,MAX(D3-D6*D4/SQRT(D5),0),"")</f>
        <v>12.083167184270001</v>
      </c>
      <c r="G10" s="37"/>
      <c r="H10" s="37"/>
      <c r="I10" s="37"/>
    </row>
    <row r="11" spans="3:9" ht="12.75">
      <c r="C11" s="44"/>
      <c r="D11" s="43"/>
      <c r="G11" s="37"/>
      <c r="H11" s="37"/>
      <c r="I11" s="37"/>
    </row>
    <row r="12" spans="1:9" ht="13.5" thickBot="1">
      <c r="A12" s="4" t="s">
        <v>58</v>
      </c>
      <c r="C12" s="101"/>
      <c r="D12" s="101"/>
      <c r="G12" s="37"/>
      <c r="H12" s="37"/>
      <c r="I12" s="37"/>
    </row>
    <row r="13" spans="2:9" ht="13.5" thickBot="1">
      <c r="B13" s="42"/>
      <c r="C13" s="115" t="s">
        <v>0</v>
      </c>
      <c r="D13" s="103"/>
      <c r="G13" s="37"/>
      <c r="H13" s="37"/>
      <c r="I13" s="37"/>
    </row>
    <row r="14" spans="2:9" ht="13.5" thickBot="1">
      <c r="B14" s="119" t="s">
        <v>14</v>
      </c>
      <c r="C14" s="115">
        <f>IF(COUNT(C17:C56)=0,"",AVERAGE(C17:C56))</f>
        <v>12.11</v>
      </c>
      <c r="D14" s="93"/>
      <c r="G14" s="37"/>
      <c r="H14" s="37"/>
      <c r="I14" s="37"/>
    </row>
    <row r="15" spans="2:9" ht="13.5" thickBot="1">
      <c r="B15" s="117"/>
      <c r="C15" s="118"/>
      <c r="D15" s="93"/>
      <c r="G15" s="37"/>
      <c r="H15" s="37"/>
      <c r="I15" s="37"/>
    </row>
    <row r="16" spans="2:9" ht="13.5" thickBot="1">
      <c r="B16" s="89" t="s">
        <v>13</v>
      </c>
      <c r="C16" s="119" t="s">
        <v>0</v>
      </c>
      <c r="D16" s="93"/>
      <c r="G16" s="37"/>
      <c r="H16" s="37"/>
      <c r="I16" s="37"/>
    </row>
    <row r="17" spans="2:9" ht="12.75">
      <c r="B17" s="131">
        <v>1</v>
      </c>
      <c r="C17" s="24">
        <v>12.1</v>
      </c>
      <c r="D17" s="93"/>
      <c r="G17" s="37"/>
      <c r="H17" s="37"/>
      <c r="I17" s="37"/>
    </row>
    <row r="18" spans="2:9" ht="12.75">
      <c r="B18" s="132">
        <v>2</v>
      </c>
      <c r="C18" s="25">
        <v>12.12</v>
      </c>
      <c r="D18" s="93"/>
      <c r="G18" s="37"/>
      <c r="H18" s="37"/>
      <c r="I18" s="37"/>
    </row>
    <row r="19" spans="2:9" ht="12.75">
      <c r="B19" s="132">
        <v>3</v>
      </c>
      <c r="C19" s="25">
        <v>12.11</v>
      </c>
      <c r="D19" s="93"/>
      <c r="G19" s="37"/>
      <c r="H19" s="37"/>
      <c r="I19" s="37"/>
    </row>
    <row r="20" spans="2:9" ht="12.75">
      <c r="B20" s="132">
        <v>4</v>
      </c>
      <c r="C20" s="25">
        <v>12.1</v>
      </c>
      <c r="D20" s="93"/>
      <c r="G20" s="37"/>
      <c r="H20" s="37"/>
      <c r="I20" s="37"/>
    </row>
    <row r="21" spans="2:9" ht="12.75">
      <c r="B21" s="132">
        <v>5</v>
      </c>
      <c r="C21" s="25">
        <v>12.12</v>
      </c>
      <c r="D21" s="93"/>
      <c r="G21" s="37"/>
      <c r="H21" s="37"/>
      <c r="I21" s="37"/>
    </row>
    <row r="22" spans="2:9" ht="12.75">
      <c r="B22" s="132">
        <v>6</v>
      </c>
      <c r="C22" s="60"/>
      <c r="D22" s="93"/>
      <c r="G22" s="37"/>
      <c r="H22" s="37"/>
      <c r="I22" s="37"/>
    </row>
    <row r="23" spans="2:9" ht="12.75">
      <c r="B23" s="132">
        <v>7</v>
      </c>
      <c r="C23" s="60"/>
      <c r="D23" s="93"/>
      <c r="G23" s="37"/>
      <c r="H23" s="37"/>
      <c r="I23" s="37"/>
    </row>
    <row r="24" spans="2:9" ht="12.75">
      <c r="B24" s="132">
        <v>8</v>
      </c>
      <c r="C24" s="60"/>
      <c r="D24" s="93"/>
      <c r="G24" s="37"/>
      <c r="H24" s="37"/>
      <c r="I24" s="37"/>
    </row>
    <row r="25" spans="2:9" ht="12.75">
      <c r="B25" s="132">
        <v>9</v>
      </c>
      <c r="C25" s="60"/>
      <c r="D25" s="93"/>
      <c r="G25" s="37"/>
      <c r="H25" s="37"/>
      <c r="I25" s="37"/>
    </row>
    <row r="26" spans="2:9" ht="12.75">
      <c r="B26" s="132">
        <v>10</v>
      </c>
      <c r="C26" s="60"/>
      <c r="D26" s="93"/>
      <c r="G26" s="37"/>
      <c r="H26" s="37"/>
      <c r="I26" s="37"/>
    </row>
    <row r="27" spans="2:9" ht="12.75">
      <c r="B27" s="132">
        <v>11</v>
      </c>
      <c r="C27" s="60"/>
      <c r="D27" s="93"/>
      <c r="G27" s="37"/>
      <c r="H27" s="37"/>
      <c r="I27" s="37"/>
    </row>
    <row r="28" spans="2:4" ht="12.75">
      <c r="B28" s="132">
        <v>12</v>
      </c>
      <c r="C28" s="60"/>
      <c r="D28" s="93"/>
    </row>
    <row r="29" spans="2:4" ht="12.75">
      <c r="B29" s="132">
        <v>13</v>
      </c>
      <c r="C29" s="60"/>
      <c r="D29" s="93"/>
    </row>
    <row r="30" spans="2:4" ht="12.75">
      <c r="B30" s="132">
        <v>14</v>
      </c>
      <c r="C30" s="60"/>
      <c r="D30" s="93"/>
    </row>
    <row r="31" spans="2:4" ht="12.75">
      <c r="B31" s="132">
        <v>15</v>
      </c>
      <c r="C31" s="60"/>
      <c r="D31" s="93"/>
    </row>
    <row r="32" spans="2:4" ht="12.75">
      <c r="B32" s="132">
        <v>16</v>
      </c>
      <c r="C32" s="60"/>
      <c r="D32" s="93"/>
    </row>
    <row r="33" spans="2:4" ht="12.75">
      <c r="B33" s="132">
        <v>17</v>
      </c>
      <c r="C33" s="60"/>
      <c r="D33" s="93"/>
    </row>
    <row r="34" spans="2:4" ht="12.75">
      <c r="B34" s="132">
        <v>18</v>
      </c>
      <c r="C34" s="60"/>
      <c r="D34" s="93"/>
    </row>
    <row r="35" spans="2:4" ht="12.75">
      <c r="B35" s="132">
        <v>19</v>
      </c>
      <c r="C35" s="60"/>
      <c r="D35" s="93"/>
    </row>
    <row r="36" spans="2:4" ht="12.75">
      <c r="B36" s="132">
        <v>20</v>
      </c>
      <c r="C36" s="60"/>
      <c r="D36" s="93"/>
    </row>
    <row r="37" spans="2:4" ht="12.75">
      <c r="B37" s="132">
        <v>21</v>
      </c>
      <c r="C37" s="60"/>
      <c r="D37" s="93"/>
    </row>
    <row r="38" spans="2:4" ht="12.75">
      <c r="B38" s="132">
        <v>22</v>
      </c>
      <c r="C38" s="60"/>
      <c r="D38" s="93"/>
    </row>
    <row r="39" spans="2:4" ht="12.75">
      <c r="B39" s="132">
        <v>23</v>
      </c>
      <c r="C39" s="60"/>
      <c r="D39" s="93"/>
    </row>
    <row r="40" spans="2:4" ht="12.75">
      <c r="B40" s="132">
        <v>24</v>
      </c>
      <c r="C40" s="60"/>
      <c r="D40" s="93"/>
    </row>
    <row r="41" spans="2:4" ht="12.75">
      <c r="B41" s="132">
        <v>25</v>
      </c>
      <c r="C41" s="60"/>
      <c r="D41" s="93"/>
    </row>
    <row r="42" spans="2:4" ht="12.75">
      <c r="B42" s="132">
        <v>26</v>
      </c>
      <c r="C42" s="60"/>
      <c r="D42" s="93"/>
    </row>
    <row r="43" spans="2:4" ht="12.75">
      <c r="B43" s="132">
        <v>27</v>
      </c>
      <c r="C43" s="60"/>
      <c r="D43" s="93"/>
    </row>
    <row r="44" spans="2:4" ht="12.75">
      <c r="B44" s="132">
        <v>28</v>
      </c>
      <c r="C44" s="60"/>
      <c r="D44" s="93"/>
    </row>
    <row r="45" spans="2:4" ht="12.75">
      <c r="B45" s="132">
        <v>29</v>
      </c>
      <c r="C45" s="60"/>
      <c r="D45" s="93"/>
    </row>
    <row r="46" spans="2:4" ht="12.75">
      <c r="B46" s="132">
        <v>30</v>
      </c>
      <c r="C46" s="60"/>
      <c r="D46" s="93"/>
    </row>
    <row r="47" spans="2:4" ht="12.75">
      <c r="B47" s="132">
        <v>31</v>
      </c>
      <c r="C47" s="60"/>
      <c r="D47" s="93"/>
    </row>
    <row r="48" spans="2:4" ht="12.75">
      <c r="B48" s="132">
        <v>32</v>
      </c>
      <c r="C48" s="60"/>
      <c r="D48" s="93"/>
    </row>
    <row r="49" spans="2:4" ht="12.75">
      <c r="B49" s="132">
        <v>33</v>
      </c>
      <c r="C49" s="60"/>
      <c r="D49" s="93"/>
    </row>
    <row r="50" spans="2:4" ht="12.75">
      <c r="B50" s="132">
        <v>34</v>
      </c>
      <c r="C50" s="60"/>
      <c r="D50" s="93"/>
    </row>
    <row r="51" spans="2:4" ht="12.75">
      <c r="B51" s="132">
        <v>35</v>
      </c>
      <c r="C51" s="60"/>
      <c r="D51" s="93"/>
    </row>
    <row r="52" spans="2:4" ht="12.75">
      <c r="B52" s="132">
        <v>36</v>
      </c>
      <c r="C52" s="60"/>
      <c r="D52" s="93"/>
    </row>
    <row r="53" spans="2:4" ht="12.75">
      <c r="B53" s="132">
        <v>37</v>
      </c>
      <c r="C53" s="60"/>
      <c r="D53" s="93"/>
    </row>
    <row r="54" spans="2:4" ht="12.75">
      <c r="B54" s="132">
        <v>38</v>
      </c>
      <c r="C54" s="60"/>
      <c r="D54" s="93"/>
    </row>
    <row r="55" spans="2:3" ht="12.75">
      <c r="B55" s="132">
        <v>39</v>
      </c>
      <c r="C55" s="60"/>
    </row>
    <row r="56" spans="2:3" ht="13.5" thickBot="1">
      <c r="B56" s="133">
        <v>40</v>
      </c>
      <c r="C56" s="70"/>
    </row>
  </sheetData>
  <sheetProtection password="A753" sheet="1" objects="1" scenarios="1"/>
  <conditionalFormatting sqref="D6">
    <cfRule type="expression" priority="1" dxfId="0" stopIfTrue="1">
      <formula>C9</formula>
    </cfRule>
  </conditionalFormatting>
  <printOptions/>
  <pageMargins left="0.75" right="0.75" top="1" bottom="1" header="0.5" footer="0.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J58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1" customWidth="1"/>
    <col min="5" max="10" width="9.28125" style="1" customWidth="1"/>
    <col min="11" max="11" width="9.8515625" style="1" customWidth="1"/>
    <col min="12" max="16384" width="9.140625" style="1" customWidth="1"/>
  </cols>
  <sheetData>
    <row r="1" spans="1:4" ht="12.75">
      <c r="A1" s="12" t="s">
        <v>43</v>
      </c>
      <c r="B1" s="93"/>
      <c r="C1" s="93"/>
      <c r="D1" s="93"/>
    </row>
    <row r="2" spans="1:4" ht="13.5" thickBot="1">
      <c r="A2" s="93"/>
      <c r="B2" s="93"/>
      <c r="C2" s="93"/>
      <c r="D2" s="93"/>
    </row>
    <row r="3" spans="1:4" ht="12.75">
      <c r="A3" s="80" t="s">
        <v>24</v>
      </c>
      <c r="B3" s="83"/>
      <c r="C3" s="84"/>
      <c r="D3" s="26">
        <v>3</v>
      </c>
    </row>
    <row r="4" spans="1:9" ht="12.75">
      <c r="A4" s="94" t="s">
        <v>23</v>
      </c>
      <c r="B4" s="82"/>
      <c r="C4" s="109"/>
      <c r="D4" s="60">
        <v>0.016</v>
      </c>
      <c r="G4" s="36" t="str">
        <f>"UCL = "&amp;TEXT(D7,"#,##0.0000")</f>
        <v>UCL = 3.0059</v>
      </c>
      <c r="H4" s="36" t="str">
        <f>"AVE = "&amp;TEXT(D3,"#,##0.0000")</f>
        <v>AVE = 3.0000</v>
      </c>
      <c r="I4" s="36" t="str">
        <f>"LCL = "&amp;TEXT(D8,"#,##0.0000")</f>
        <v>LCL = 2.9941</v>
      </c>
    </row>
    <row r="5" spans="1:10" ht="13.5" thickBot="1">
      <c r="A5" s="85" t="s">
        <v>40</v>
      </c>
      <c r="B5" s="86"/>
      <c r="C5" s="110" t="s">
        <v>59</v>
      </c>
      <c r="D5" s="70">
        <v>8</v>
      </c>
      <c r="E5" s="1">
        <v>1</v>
      </c>
      <c r="F5" s="37">
        <f>D3+VLOOKUP(2,A40:B58,2)*D4</f>
        <v>3.03008</v>
      </c>
      <c r="G5" s="37">
        <f>D7</f>
        <v>3.00592</v>
      </c>
      <c r="H5" s="37">
        <f>D3</f>
        <v>3</v>
      </c>
      <c r="I5" s="37">
        <f>D8</f>
        <v>2.99408</v>
      </c>
      <c r="J5" s="37">
        <f>D3-VLOOKUP(2,A40:B58,2)*D4</f>
        <v>2.96992</v>
      </c>
    </row>
    <row r="6" spans="1:10" ht="13.5" thickBot="1">
      <c r="A6" s="39"/>
      <c r="B6" s="39"/>
      <c r="C6" s="39"/>
      <c r="D6" s="111"/>
      <c r="E6" s="1">
        <v>20</v>
      </c>
      <c r="F6" s="37">
        <f>F$5</f>
        <v>3.03008</v>
      </c>
      <c r="G6" s="37">
        <f>G$5</f>
        <v>3.00592</v>
      </c>
      <c r="H6" s="37">
        <f>H$5</f>
        <v>3</v>
      </c>
      <c r="I6" s="37">
        <f>I$5</f>
        <v>2.99408</v>
      </c>
      <c r="J6" s="37">
        <f>J$5</f>
        <v>2.96992</v>
      </c>
    </row>
    <row r="7" spans="3:9" ht="12.75">
      <c r="C7" s="99" t="s">
        <v>2</v>
      </c>
      <c r="D7" s="18">
        <f>IF(D5&gt;1,D3+VLOOKUP(D5,A40:B58,2)*D4,"")</f>
        <v>3.00592</v>
      </c>
      <c r="G7" s="37"/>
      <c r="H7" s="37"/>
      <c r="I7" s="37"/>
    </row>
    <row r="8" spans="1:9" ht="13.5" thickBot="1">
      <c r="A8" s="42"/>
      <c r="B8" s="43"/>
      <c r="C8" s="100" t="s">
        <v>3</v>
      </c>
      <c r="D8" s="20">
        <f>IF(D5&gt;1,D3-VLOOKUP(D5,A40:B58,2)*D4,"")</f>
        <v>2.99408</v>
      </c>
      <c r="G8" s="37"/>
      <c r="H8" s="37"/>
      <c r="I8" s="37"/>
    </row>
    <row r="9" spans="4:9" ht="12.75">
      <c r="D9" s="43"/>
      <c r="G9" s="37"/>
      <c r="H9" s="37"/>
      <c r="I9" s="37"/>
    </row>
    <row r="10" spans="1:9" ht="13.5" thickBot="1">
      <c r="A10" s="4" t="s">
        <v>58</v>
      </c>
      <c r="D10" s="101"/>
      <c r="G10" s="37"/>
      <c r="H10" s="37"/>
      <c r="I10" s="37"/>
    </row>
    <row r="11" spans="2:9" ht="13.5" thickBot="1">
      <c r="B11" s="42"/>
      <c r="C11" s="112" t="s">
        <v>0</v>
      </c>
      <c r="D11" s="113" t="s">
        <v>1</v>
      </c>
      <c r="G11" s="37"/>
      <c r="H11" s="37"/>
      <c r="I11" s="37"/>
    </row>
    <row r="12" spans="2:9" ht="13.5" thickBot="1">
      <c r="B12" s="114" t="s">
        <v>14</v>
      </c>
      <c r="C12" s="115">
        <f>IF(COUNT(C15:C34)=0,"",AVERAGE(C15:C34))</f>
      </c>
      <c r="D12" s="116">
        <f>IF(COUNT(D15:D34)=0,"",AVERAGE(D15:D34))</f>
      </c>
      <c r="G12" s="37"/>
      <c r="H12" s="37"/>
      <c r="I12" s="37"/>
    </row>
    <row r="13" spans="2:9" ht="13.5" thickBot="1">
      <c r="B13" s="117"/>
      <c r="C13" s="118"/>
      <c r="D13" s="103"/>
      <c r="G13" s="37"/>
      <c r="H13" s="37"/>
      <c r="I13" s="37"/>
    </row>
    <row r="14" spans="2:9" ht="13.5" thickBot="1">
      <c r="B14" s="16" t="s">
        <v>13</v>
      </c>
      <c r="C14" s="119" t="s">
        <v>0</v>
      </c>
      <c r="D14" s="120" t="s">
        <v>1</v>
      </c>
      <c r="G14" s="37"/>
      <c r="H14" s="37"/>
      <c r="I14" s="37"/>
    </row>
    <row r="15" spans="2:9" ht="12.75">
      <c r="B15" s="121">
        <v>1</v>
      </c>
      <c r="C15" s="26"/>
      <c r="D15" s="26"/>
      <c r="G15" s="37"/>
      <c r="H15" s="37"/>
      <c r="I15" s="37"/>
    </row>
    <row r="16" spans="2:9" ht="12.75">
      <c r="B16" s="122">
        <v>2</v>
      </c>
      <c r="C16" s="60"/>
      <c r="D16" s="60"/>
      <c r="G16" s="37"/>
      <c r="H16" s="37"/>
      <c r="I16" s="37"/>
    </row>
    <row r="17" spans="2:9" ht="12.75">
      <c r="B17" s="122">
        <v>3</v>
      </c>
      <c r="C17" s="60"/>
      <c r="D17" s="60"/>
      <c r="G17" s="37"/>
      <c r="H17" s="37"/>
      <c r="I17" s="37"/>
    </row>
    <row r="18" spans="2:9" ht="12.75">
      <c r="B18" s="122">
        <v>4</v>
      </c>
      <c r="C18" s="60"/>
      <c r="D18" s="60"/>
      <c r="G18" s="37"/>
      <c r="H18" s="37"/>
      <c r="I18" s="37"/>
    </row>
    <row r="19" spans="2:9" ht="12.75">
      <c r="B19" s="122">
        <v>5</v>
      </c>
      <c r="C19" s="60"/>
      <c r="D19" s="60"/>
      <c r="G19" s="37"/>
      <c r="H19" s="37"/>
      <c r="I19" s="37"/>
    </row>
    <row r="20" spans="2:9" ht="12.75">
      <c r="B20" s="122">
        <v>6</v>
      </c>
      <c r="C20" s="60"/>
      <c r="D20" s="125"/>
      <c r="G20" s="37"/>
      <c r="H20" s="37"/>
      <c r="I20" s="37"/>
    </row>
    <row r="21" spans="2:9" ht="12.75">
      <c r="B21" s="122">
        <v>7</v>
      </c>
      <c r="C21" s="60"/>
      <c r="D21" s="125"/>
      <c r="G21" s="37"/>
      <c r="H21" s="37"/>
      <c r="I21" s="37"/>
    </row>
    <row r="22" spans="2:9" ht="12.75">
      <c r="B22" s="122">
        <v>8</v>
      </c>
      <c r="C22" s="60"/>
      <c r="D22" s="125"/>
      <c r="G22" s="37"/>
      <c r="H22" s="37"/>
      <c r="I22" s="37"/>
    </row>
    <row r="23" spans="2:9" ht="12.75">
      <c r="B23" s="122">
        <v>9</v>
      </c>
      <c r="C23" s="60"/>
      <c r="D23" s="125"/>
      <c r="G23" s="37"/>
      <c r="H23" s="37"/>
      <c r="I23" s="37"/>
    </row>
    <row r="24" spans="2:9" ht="12.75">
      <c r="B24" s="122">
        <v>10</v>
      </c>
      <c r="C24" s="60"/>
      <c r="D24" s="125"/>
      <c r="G24" s="37"/>
      <c r="H24" s="37"/>
      <c r="I24" s="37"/>
    </row>
    <row r="25" spans="2:9" ht="12.75">
      <c r="B25" s="122">
        <v>11</v>
      </c>
      <c r="C25" s="60"/>
      <c r="D25" s="125"/>
      <c r="G25" s="37"/>
      <c r="H25" s="37"/>
      <c r="I25" s="37"/>
    </row>
    <row r="26" spans="2:9" ht="12.75">
      <c r="B26" s="122">
        <v>12</v>
      </c>
      <c r="C26" s="60"/>
      <c r="D26" s="125"/>
      <c r="G26" s="37"/>
      <c r="H26" s="37"/>
      <c r="I26" s="37"/>
    </row>
    <row r="27" spans="2:9" ht="12.75">
      <c r="B27" s="122">
        <v>13</v>
      </c>
      <c r="C27" s="60"/>
      <c r="D27" s="125"/>
      <c r="G27" s="37"/>
      <c r="H27" s="37"/>
      <c r="I27" s="37"/>
    </row>
    <row r="28" spans="2:4" ht="12.75">
      <c r="B28" s="122">
        <v>14</v>
      </c>
      <c r="C28" s="60"/>
      <c r="D28" s="125"/>
    </row>
    <row r="29" spans="2:4" ht="12.75">
      <c r="B29" s="122">
        <v>15</v>
      </c>
      <c r="C29" s="60"/>
      <c r="D29" s="125"/>
    </row>
    <row r="30" spans="2:4" ht="12.75">
      <c r="B30" s="122">
        <v>16</v>
      </c>
      <c r="C30" s="60"/>
      <c r="D30" s="125"/>
    </row>
    <row r="31" spans="2:4" ht="12.75">
      <c r="B31" s="122">
        <v>17</v>
      </c>
      <c r="C31" s="60"/>
      <c r="D31" s="125"/>
    </row>
    <row r="32" spans="2:4" ht="12.75">
      <c r="B32" s="122">
        <v>18</v>
      </c>
      <c r="C32" s="60"/>
      <c r="D32" s="125"/>
    </row>
    <row r="33" spans="2:4" ht="12.75">
      <c r="B33" s="122">
        <v>19</v>
      </c>
      <c r="C33" s="60"/>
      <c r="D33" s="125"/>
    </row>
    <row r="34" spans="2:4" ht="13.5" thickBot="1">
      <c r="B34" s="123">
        <v>20</v>
      </c>
      <c r="C34" s="70"/>
      <c r="D34" s="126"/>
    </row>
    <row r="37" ht="12.75">
      <c r="A37" s="1" t="s">
        <v>12</v>
      </c>
    </row>
    <row r="39" spans="1:2" ht="12.75">
      <c r="A39" s="5" t="s">
        <v>4</v>
      </c>
      <c r="B39" s="5" t="s">
        <v>5</v>
      </c>
    </row>
    <row r="40" spans="1:2" ht="12.75">
      <c r="A40" s="1">
        <v>2</v>
      </c>
      <c r="B40" s="124">
        <v>1.88</v>
      </c>
    </row>
    <row r="41" spans="1:2" ht="12.75">
      <c r="A41" s="1">
        <v>3</v>
      </c>
      <c r="B41" s="124">
        <v>1.02</v>
      </c>
    </row>
    <row r="42" spans="1:2" ht="12.75">
      <c r="A42" s="1">
        <v>4</v>
      </c>
      <c r="B42" s="124">
        <v>0.73</v>
      </c>
    </row>
    <row r="43" spans="1:2" ht="12.75">
      <c r="A43" s="1">
        <v>5</v>
      </c>
      <c r="B43" s="124">
        <v>0.58</v>
      </c>
    </row>
    <row r="44" spans="1:2" ht="12.75">
      <c r="A44" s="1">
        <v>6</v>
      </c>
      <c r="B44" s="124">
        <v>0.48</v>
      </c>
    </row>
    <row r="45" spans="1:2" ht="12.75">
      <c r="A45" s="1">
        <v>7</v>
      </c>
      <c r="B45" s="124">
        <v>0.42</v>
      </c>
    </row>
    <row r="46" spans="1:2" ht="12.75">
      <c r="A46" s="1">
        <v>8</v>
      </c>
      <c r="B46" s="124">
        <v>0.37</v>
      </c>
    </row>
    <row r="47" spans="1:2" ht="12.75">
      <c r="A47" s="1">
        <v>9</v>
      </c>
      <c r="B47" s="124">
        <v>0.34</v>
      </c>
    </row>
    <row r="48" spans="1:2" ht="12.75">
      <c r="A48" s="1">
        <v>10</v>
      </c>
      <c r="B48" s="124">
        <v>0.31</v>
      </c>
    </row>
    <row r="49" spans="1:2" ht="12.75">
      <c r="A49" s="1">
        <v>11</v>
      </c>
      <c r="B49" s="124">
        <v>0.29</v>
      </c>
    </row>
    <row r="50" spans="1:2" ht="12.75">
      <c r="A50" s="1">
        <v>12</v>
      </c>
      <c r="B50" s="124">
        <v>0.27</v>
      </c>
    </row>
    <row r="51" spans="1:2" ht="12.75">
      <c r="A51" s="1">
        <v>13</v>
      </c>
      <c r="B51" s="124">
        <v>0.25</v>
      </c>
    </row>
    <row r="52" spans="1:2" ht="12.75">
      <c r="A52" s="1">
        <v>14</v>
      </c>
      <c r="B52" s="124">
        <v>0.24</v>
      </c>
    </row>
    <row r="53" spans="1:2" ht="12.75">
      <c r="A53" s="1">
        <v>15</v>
      </c>
      <c r="B53" s="124">
        <v>0.22</v>
      </c>
    </row>
    <row r="54" spans="1:2" ht="12.75">
      <c r="A54" s="1">
        <v>16</v>
      </c>
      <c r="B54" s="124">
        <v>0.21</v>
      </c>
    </row>
    <row r="55" spans="1:2" ht="12.75">
      <c r="A55" s="1">
        <v>17</v>
      </c>
      <c r="B55" s="124">
        <v>0.2</v>
      </c>
    </row>
    <row r="56" spans="1:2" ht="12.75">
      <c r="A56" s="1">
        <v>18</v>
      </c>
      <c r="B56" s="124">
        <v>0.19</v>
      </c>
    </row>
    <row r="57" spans="1:2" ht="12.75">
      <c r="A57" s="1">
        <v>19</v>
      </c>
      <c r="B57" s="124">
        <v>0.19</v>
      </c>
    </row>
    <row r="58" spans="1:2" ht="12.75">
      <c r="A58" s="1">
        <v>20</v>
      </c>
      <c r="B58" s="124">
        <v>0.18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J58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1" customWidth="1"/>
    <col min="5" max="10" width="9.28125" style="1" customWidth="1"/>
    <col min="11" max="11" width="9.7109375" style="1" customWidth="1"/>
    <col min="12" max="16384" width="9.140625" style="1" customWidth="1"/>
  </cols>
  <sheetData>
    <row r="1" spans="1:4" ht="12.75">
      <c r="A1" s="12" t="s">
        <v>11</v>
      </c>
      <c r="B1" s="4"/>
      <c r="C1" s="4"/>
      <c r="D1" s="4"/>
    </row>
    <row r="2" spans="1:4" ht="12.75">
      <c r="A2" s="4"/>
      <c r="B2" s="4"/>
      <c r="C2" s="4"/>
      <c r="D2" s="4"/>
    </row>
    <row r="3" spans="1:4" ht="13.5" thickBot="1">
      <c r="A3" s="4"/>
      <c r="B3" s="4"/>
      <c r="C3" s="4"/>
      <c r="D3" s="4"/>
    </row>
    <row r="4" spans="1:9" ht="12.75">
      <c r="A4" s="81" t="s">
        <v>23</v>
      </c>
      <c r="B4" s="83"/>
      <c r="C4" s="84"/>
      <c r="D4" s="26">
        <v>0.01</v>
      </c>
      <c r="G4" s="36" t="str">
        <f>"UCL = "&amp;TEXT(D7,"#,##0.0000")</f>
        <v>UCL = 0.0178</v>
      </c>
      <c r="H4" s="36" t="str">
        <f>"AVE = "&amp;TEXT(D4,"#,##0.0000")</f>
        <v>AVE = 0.0100</v>
      </c>
      <c r="I4" s="36" t="str">
        <f>"LCL = "&amp;TEXT(D8,"#,##0.0000")</f>
        <v>LCL = 0.0022</v>
      </c>
    </row>
    <row r="5" spans="1:10" ht="13.5" thickBot="1">
      <c r="A5" s="127" t="s">
        <v>40</v>
      </c>
      <c r="B5" s="86"/>
      <c r="C5" s="110" t="s">
        <v>59</v>
      </c>
      <c r="D5" s="70">
        <v>10</v>
      </c>
      <c r="E5" s="1">
        <v>1</v>
      </c>
      <c r="F5" s="36">
        <f>VLOOKUP(2,A40:C58,3)*D4</f>
        <v>0.0327</v>
      </c>
      <c r="G5" s="37">
        <f>D7</f>
        <v>0.0178</v>
      </c>
      <c r="H5" s="37">
        <f>D4</f>
        <v>0.01</v>
      </c>
      <c r="I5" s="37">
        <f>D8</f>
        <v>0.0022</v>
      </c>
      <c r="J5" s="37">
        <f>VLOOKUP(2,A40:C58,2)*D4</f>
        <v>0</v>
      </c>
    </row>
    <row r="6" spans="1:10" ht="13.5" thickBot="1">
      <c r="A6" s="39"/>
      <c r="B6" s="40"/>
      <c r="C6" s="40"/>
      <c r="D6" s="41"/>
      <c r="E6" s="1">
        <v>20</v>
      </c>
      <c r="F6" s="37">
        <f>F$5</f>
        <v>0.0327</v>
      </c>
      <c r="G6" s="37">
        <f>G$5</f>
        <v>0.0178</v>
      </c>
      <c r="H6" s="37">
        <f>H$5</f>
        <v>0.01</v>
      </c>
      <c r="I6" s="37">
        <f>I$5</f>
        <v>0.0022</v>
      </c>
      <c r="J6" s="37">
        <f>J$5</f>
        <v>0</v>
      </c>
    </row>
    <row r="7" spans="3:9" ht="12.75">
      <c r="C7" s="99" t="s">
        <v>2</v>
      </c>
      <c r="D7" s="18">
        <f>IF(D5&gt;1,VLOOKUP(D5,A40:C58,3)*D4,"")</f>
        <v>0.0178</v>
      </c>
      <c r="G7" s="37"/>
      <c r="H7" s="37"/>
      <c r="I7" s="37"/>
    </row>
    <row r="8" spans="1:9" ht="13.5" thickBot="1">
      <c r="A8" s="42"/>
      <c r="B8" s="43"/>
      <c r="C8" s="100" t="s">
        <v>3</v>
      </c>
      <c r="D8" s="20">
        <f>IF(D5&gt;1,VLOOKUP(D5,A40:C58,2)*D4,"")</f>
        <v>0.0022</v>
      </c>
      <c r="G8" s="37"/>
      <c r="H8" s="37"/>
      <c r="I8" s="37"/>
    </row>
    <row r="9" spans="3:9" ht="12.75">
      <c r="C9" s="23"/>
      <c r="D9" s="43"/>
      <c r="G9" s="37"/>
      <c r="H9" s="37"/>
      <c r="I9" s="37"/>
    </row>
    <row r="10" spans="1:9" ht="13.5" thickBot="1">
      <c r="A10" s="4" t="s">
        <v>58</v>
      </c>
      <c r="D10" s="34"/>
      <c r="G10" s="37"/>
      <c r="H10" s="37"/>
      <c r="I10" s="37"/>
    </row>
    <row r="11" spans="2:9" ht="13.5" thickBot="1">
      <c r="B11" s="42"/>
      <c r="C11" s="29" t="s">
        <v>1</v>
      </c>
      <c r="D11" s="34"/>
      <c r="G11" s="37"/>
      <c r="H11" s="37"/>
      <c r="I11" s="37"/>
    </row>
    <row r="12" spans="2:9" ht="13.5" thickBot="1">
      <c r="B12" s="78" t="s">
        <v>14</v>
      </c>
      <c r="C12" s="21">
        <f>IF(COUNT(C15:C34)=0,"",AVERAGE(C15:C34))</f>
      </c>
      <c r="D12" s="23"/>
      <c r="G12" s="37"/>
      <c r="H12" s="37"/>
      <c r="I12" s="37"/>
    </row>
    <row r="13" spans="2:9" ht="13.5" thickBot="1">
      <c r="B13" s="35"/>
      <c r="C13" s="34"/>
      <c r="D13" s="23"/>
      <c r="G13" s="37"/>
      <c r="H13" s="37"/>
      <c r="I13" s="37"/>
    </row>
    <row r="14" spans="2:9" ht="13.5" thickBot="1">
      <c r="B14" s="16" t="s">
        <v>13</v>
      </c>
      <c r="C14" s="21" t="s">
        <v>1</v>
      </c>
      <c r="D14" s="23"/>
      <c r="G14" s="37"/>
      <c r="H14" s="37"/>
      <c r="I14" s="37"/>
    </row>
    <row r="15" spans="2:9" ht="12.75">
      <c r="B15" s="90">
        <v>1</v>
      </c>
      <c r="C15" s="26"/>
      <c r="D15" s="23"/>
      <c r="G15" s="37"/>
      <c r="H15" s="37"/>
      <c r="I15" s="37"/>
    </row>
    <row r="16" spans="2:9" ht="12.75">
      <c r="B16" s="91">
        <v>2</v>
      </c>
      <c r="C16" s="60"/>
      <c r="D16" s="23"/>
      <c r="G16" s="37"/>
      <c r="H16" s="37"/>
      <c r="I16" s="37"/>
    </row>
    <row r="17" spans="2:9" ht="12.75">
      <c r="B17" s="91">
        <v>3</v>
      </c>
      <c r="C17" s="60"/>
      <c r="D17" s="23"/>
      <c r="G17" s="37"/>
      <c r="H17" s="37"/>
      <c r="I17" s="37"/>
    </row>
    <row r="18" spans="2:9" ht="12.75">
      <c r="B18" s="91">
        <v>4</v>
      </c>
      <c r="C18" s="60"/>
      <c r="D18" s="23"/>
      <c r="G18" s="37"/>
      <c r="H18" s="37"/>
      <c r="I18" s="37"/>
    </row>
    <row r="19" spans="2:9" ht="12.75">
      <c r="B19" s="91">
        <v>5</v>
      </c>
      <c r="C19" s="60"/>
      <c r="D19" s="23"/>
      <c r="G19" s="37"/>
      <c r="H19" s="37"/>
      <c r="I19" s="37"/>
    </row>
    <row r="20" spans="2:9" ht="12.75">
      <c r="B20" s="91">
        <v>6</v>
      </c>
      <c r="C20" s="125"/>
      <c r="D20" s="23"/>
      <c r="G20" s="37"/>
      <c r="H20" s="37"/>
      <c r="I20" s="37"/>
    </row>
    <row r="21" spans="2:9" ht="12.75">
      <c r="B21" s="91">
        <v>7</v>
      </c>
      <c r="C21" s="60"/>
      <c r="D21" s="23"/>
      <c r="G21" s="37"/>
      <c r="H21" s="37"/>
      <c r="I21" s="37"/>
    </row>
    <row r="22" spans="2:9" ht="12.75">
      <c r="B22" s="91">
        <v>8</v>
      </c>
      <c r="C22" s="60"/>
      <c r="D22" s="23"/>
      <c r="G22" s="37"/>
      <c r="H22" s="37"/>
      <c r="I22" s="37"/>
    </row>
    <row r="23" spans="2:9" ht="12.75">
      <c r="B23" s="91">
        <v>9</v>
      </c>
      <c r="C23" s="60"/>
      <c r="D23" s="23"/>
      <c r="G23" s="37"/>
      <c r="H23" s="37"/>
      <c r="I23" s="37"/>
    </row>
    <row r="24" spans="2:9" ht="12.75">
      <c r="B24" s="91">
        <v>10</v>
      </c>
      <c r="C24" s="60"/>
      <c r="D24" s="23"/>
      <c r="G24" s="37"/>
      <c r="H24" s="37"/>
      <c r="I24" s="37"/>
    </row>
    <row r="25" spans="2:9" ht="12.75">
      <c r="B25" s="91">
        <v>11</v>
      </c>
      <c r="C25" s="60"/>
      <c r="D25" s="23"/>
      <c r="G25" s="37"/>
      <c r="H25" s="37"/>
      <c r="I25" s="37"/>
    </row>
    <row r="26" spans="2:9" ht="12.75">
      <c r="B26" s="91">
        <v>12</v>
      </c>
      <c r="C26" s="60"/>
      <c r="D26" s="23"/>
      <c r="G26" s="37"/>
      <c r="H26" s="37"/>
      <c r="I26" s="37"/>
    </row>
    <row r="27" spans="2:9" ht="12.75">
      <c r="B27" s="91">
        <v>13</v>
      </c>
      <c r="C27" s="60"/>
      <c r="D27" s="23"/>
      <c r="G27" s="37"/>
      <c r="H27" s="37"/>
      <c r="I27" s="37"/>
    </row>
    <row r="28" spans="2:4" ht="12.75">
      <c r="B28" s="91">
        <v>14</v>
      </c>
      <c r="C28" s="60"/>
      <c r="D28" s="23"/>
    </row>
    <row r="29" spans="2:4" ht="12.75">
      <c r="B29" s="91">
        <v>15</v>
      </c>
      <c r="C29" s="60"/>
      <c r="D29" s="23"/>
    </row>
    <row r="30" spans="2:4" ht="12.75">
      <c r="B30" s="91">
        <v>16</v>
      </c>
      <c r="C30" s="60"/>
      <c r="D30" s="23"/>
    </row>
    <row r="31" spans="2:4" ht="12.75">
      <c r="B31" s="91">
        <v>17</v>
      </c>
      <c r="C31" s="60"/>
      <c r="D31" s="23"/>
    </row>
    <row r="32" spans="2:4" ht="12.75">
      <c r="B32" s="91">
        <v>18</v>
      </c>
      <c r="C32" s="60"/>
      <c r="D32" s="23"/>
    </row>
    <row r="33" spans="2:3" ht="12.75">
      <c r="B33" s="91">
        <v>19</v>
      </c>
      <c r="C33" s="60"/>
    </row>
    <row r="34" spans="2:3" ht="13.5" thickBot="1">
      <c r="B34" s="92">
        <v>20</v>
      </c>
      <c r="C34" s="70"/>
    </row>
    <row r="37" ht="12.75">
      <c r="A37" s="1" t="s">
        <v>12</v>
      </c>
    </row>
    <row r="39" spans="1:3" ht="12.75">
      <c r="A39" s="5" t="s">
        <v>4</v>
      </c>
      <c r="B39" s="5" t="s">
        <v>6</v>
      </c>
      <c r="C39" s="5" t="s">
        <v>7</v>
      </c>
    </row>
    <row r="40" spans="1:3" ht="12.75">
      <c r="A40" s="1">
        <v>2</v>
      </c>
      <c r="B40" s="124">
        <v>0</v>
      </c>
      <c r="C40" s="124">
        <v>3.27</v>
      </c>
    </row>
    <row r="41" spans="1:3" ht="12.75">
      <c r="A41" s="1">
        <v>3</v>
      </c>
      <c r="B41" s="124">
        <v>0</v>
      </c>
      <c r="C41" s="124">
        <v>2.57</v>
      </c>
    </row>
    <row r="42" spans="1:3" ht="12.75">
      <c r="A42" s="1">
        <v>4</v>
      </c>
      <c r="B42" s="124">
        <v>0</v>
      </c>
      <c r="C42" s="124">
        <v>2.28</v>
      </c>
    </row>
    <row r="43" spans="1:3" ht="12.75">
      <c r="A43" s="1">
        <v>5</v>
      </c>
      <c r="B43" s="124">
        <v>0</v>
      </c>
      <c r="C43" s="124">
        <v>2.11</v>
      </c>
    </row>
    <row r="44" spans="1:3" ht="12.75">
      <c r="A44" s="1">
        <v>6</v>
      </c>
      <c r="B44" s="124">
        <v>0</v>
      </c>
      <c r="C44" s="124">
        <v>2</v>
      </c>
    </row>
    <row r="45" spans="1:3" ht="12.75">
      <c r="A45" s="1">
        <v>7</v>
      </c>
      <c r="B45" s="124">
        <v>0.08</v>
      </c>
      <c r="C45" s="124">
        <v>1.92</v>
      </c>
    </row>
    <row r="46" spans="1:3" ht="12.75">
      <c r="A46" s="1">
        <v>8</v>
      </c>
      <c r="B46" s="124">
        <v>0.14</v>
      </c>
      <c r="C46" s="124">
        <v>1.86</v>
      </c>
    </row>
    <row r="47" spans="1:3" ht="12.75">
      <c r="A47" s="1">
        <v>9</v>
      </c>
      <c r="B47" s="124">
        <v>0.18</v>
      </c>
      <c r="C47" s="124">
        <v>1.82</v>
      </c>
    </row>
    <row r="48" spans="1:3" ht="12.75">
      <c r="A48" s="1">
        <v>10</v>
      </c>
      <c r="B48" s="124">
        <v>0.22</v>
      </c>
      <c r="C48" s="124">
        <v>1.78</v>
      </c>
    </row>
    <row r="49" spans="1:3" ht="12.75">
      <c r="A49" s="1">
        <v>11</v>
      </c>
      <c r="B49" s="124">
        <v>0.26</v>
      </c>
      <c r="C49" s="124">
        <v>1.74</v>
      </c>
    </row>
    <row r="50" spans="1:3" ht="12.75">
      <c r="A50" s="1">
        <v>12</v>
      </c>
      <c r="B50" s="124">
        <v>0.28</v>
      </c>
      <c r="C50" s="124">
        <v>1.72</v>
      </c>
    </row>
    <row r="51" spans="1:3" ht="12.75">
      <c r="A51" s="1">
        <v>13</v>
      </c>
      <c r="B51" s="124">
        <v>0.31</v>
      </c>
      <c r="C51" s="124">
        <v>1.69</v>
      </c>
    </row>
    <row r="52" spans="1:3" ht="12.75">
      <c r="A52" s="1">
        <v>14</v>
      </c>
      <c r="B52" s="124">
        <v>0.33</v>
      </c>
      <c r="C52" s="124">
        <v>1.67</v>
      </c>
    </row>
    <row r="53" spans="1:3" ht="12.75">
      <c r="A53" s="1">
        <v>15</v>
      </c>
      <c r="B53" s="124">
        <v>0.35</v>
      </c>
      <c r="C53" s="1">
        <v>1.65</v>
      </c>
    </row>
    <row r="54" spans="1:3" ht="12.75">
      <c r="A54" s="1">
        <v>16</v>
      </c>
      <c r="B54" s="124">
        <v>0.36</v>
      </c>
      <c r="C54" s="124">
        <v>1.64</v>
      </c>
    </row>
    <row r="55" spans="1:3" ht="12.75">
      <c r="A55" s="1">
        <v>17</v>
      </c>
      <c r="B55" s="124">
        <v>0.38</v>
      </c>
      <c r="C55" s="124">
        <v>1.62</v>
      </c>
    </row>
    <row r="56" spans="1:3" ht="12.75">
      <c r="A56" s="1">
        <v>18</v>
      </c>
      <c r="B56" s="124">
        <v>0.39</v>
      </c>
      <c r="C56" s="124">
        <v>1.61</v>
      </c>
    </row>
    <row r="57" spans="1:3" ht="12.75">
      <c r="A57" s="1">
        <v>19</v>
      </c>
      <c r="B57" s="124">
        <v>0.4</v>
      </c>
      <c r="C57" s="124">
        <v>1.6</v>
      </c>
    </row>
    <row r="58" spans="1:3" ht="12.75">
      <c r="A58" s="1">
        <v>20</v>
      </c>
      <c r="B58" s="124">
        <v>0.41</v>
      </c>
      <c r="C58" s="124">
        <v>1.59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J36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1" customWidth="1"/>
    <col min="5" max="10" width="9.28125" style="1" customWidth="1"/>
    <col min="11" max="11" width="9.7109375" style="1" customWidth="1"/>
    <col min="12" max="16384" width="9.140625" style="1" customWidth="1"/>
  </cols>
  <sheetData>
    <row r="1" spans="1:4" ht="12.75">
      <c r="A1" s="12" t="s">
        <v>15</v>
      </c>
      <c r="B1" s="4"/>
      <c r="C1" s="4"/>
      <c r="D1" s="4"/>
    </row>
    <row r="2" spans="1:4" ht="12.75">
      <c r="A2" s="4"/>
      <c r="B2" s="4"/>
      <c r="C2" s="4"/>
      <c r="D2" s="4"/>
    </row>
    <row r="3" spans="1:4" ht="13.5" thickBot="1">
      <c r="A3" s="4"/>
      <c r="B3" s="4"/>
      <c r="C3" s="4"/>
      <c r="D3" s="4"/>
    </row>
    <row r="4" spans="1:9" ht="12.75">
      <c r="A4" s="81" t="s">
        <v>57</v>
      </c>
      <c r="B4" s="83"/>
      <c r="C4" s="83"/>
      <c r="D4" s="26">
        <f>220/20/100</f>
        <v>0.11</v>
      </c>
      <c r="G4" s="36" t="str">
        <f>"UCL = "&amp;TEXT(D9,"#,##0.0000")</f>
        <v>UCL = 0.2039</v>
      </c>
      <c r="H4" s="36" t="str">
        <f>"AVE = "&amp;TEXT(D4,"#,##0.0000")</f>
        <v>AVE = 0.1100</v>
      </c>
      <c r="I4" s="36" t="str">
        <f>"LCL = "&amp;TEXT(D10,"#,##0.0000")</f>
        <v>LCL = 0.0161</v>
      </c>
    </row>
    <row r="5" spans="1:10" ht="12.75">
      <c r="A5" s="128" t="s">
        <v>40</v>
      </c>
      <c r="B5" s="82"/>
      <c r="C5" s="33" t="s">
        <v>59</v>
      </c>
      <c r="D5" s="60">
        <v>100</v>
      </c>
      <c r="E5" s="1">
        <v>1</v>
      </c>
      <c r="F5" s="36">
        <f>D4+4*SQRT(D4*(1-D4)/D5)</f>
        <v>0.23515590277729614</v>
      </c>
      <c r="G5" s="37">
        <f>D9</f>
        <v>0.2038669270829721</v>
      </c>
      <c r="H5" s="37">
        <f>D4</f>
        <v>0.11</v>
      </c>
      <c r="I5" s="37">
        <f>D10</f>
        <v>0.01613307291702791</v>
      </c>
      <c r="J5" s="36">
        <f>MAX(D4-4*SQRT(D4*(1-D4)/D5),0)</f>
        <v>0</v>
      </c>
    </row>
    <row r="6" spans="1:10" ht="12.75">
      <c r="A6" s="128"/>
      <c r="B6" s="82"/>
      <c r="C6" s="33" t="s">
        <v>60</v>
      </c>
      <c r="D6" s="60">
        <v>3</v>
      </c>
      <c r="E6" s="1">
        <v>20</v>
      </c>
      <c r="F6" s="36">
        <f>F$5</f>
        <v>0.23515590277729614</v>
      </c>
      <c r="G6" s="37">
        <f>G$5</f>
        <v>0.2038669270829721</v>
      </c>
      <c r="H6" s="37">
        <f>H$5</f>
        <v>0.11</v>
      </c>
      <c r="I6" s="37">
        <f>I$5</f>
        <v>0.01613307291702791</v>
      </c>
      <c r="J6" s="36">
        <f>J$5</f>
        <v>0</v>
      </c>
    </row>
    <row r="7" spans="1:9" ht="13.5" thickBot="1">
      <c r="A7" s="85"/>
      <c r="B7" s="129"/>
      <c r="C7" s="98" t="s">
        <v>61</v>
      </c>
      <c r="D7" s="70">
        <v>0.1</v>
      </c>
      <c r="G7" s="37"/>
      <c r="H7" s="37"/>
      <c r="I7" s="37"/>
    </row>
    <row r="8" spans="7:9" ht="13.5" thickBot="1">
      <c r="G8" s="37"/>
      <c r="H8" s="37"/>
      <c r="I8" s="37"/>
    </row>
    <row r="9" spans="3:9" ht="12.75">
      <c r="C9" s="99" t="s">
        <v>2</v>
      </c>
      <c r="D9" s="18">
        <f>IF(D5&gt;0,D4+D6*SQRT(D4*(1-D4)/D5),"")</f>
        <v>0.2038669270829721</v>
      </c>
      <c r="G9" s="37"/>
      <c r="H9" s="37"/>
      <c r="I9" s="37"/>
    </row>
    <row r="10" spans="1:9" ht="13.5" thickBot="1">
      <c r="A10" s="42"/>
      <c r="B10" s="43"/>
      <c r="C10" s="100" t="s">
        <v>3</v>
      </c>
      <c r="D10" s="20">
        <f>IF(D5&gt;0,MAX(D4-D6*SQRT(D4*(1-D4)/D5),0),"")</f>
        <v>0.01613307291702791</v>
      </c>
      <c r="G10" s="37"/>
      <c r="H10" s="37"/>
      <c r="I10" s="37"/>
    </row>
    <row r="11" spans="4:9" ht="12.75">
      <c r="D11" s="43"/>
      <c r="G11" s="37"/>
      <c r="H11" s="37"/>
      <c r="I11" s="37"/>
    </row>
    <row r="12" spans="1:9" ht="13.5" thickBot="1">
      <c r="A12" s="4" t="s">
        <v>58</v>
      </c>
      <c r="D12" s="34"/>
      <c r="G12" s="37"/>
      <c r="H12" s="37"/>
      <c r="I12" s="37"/>
    </row>
    <row r="13" spans="2:9" ht="13.5" thickBot="1">
      <c r="B13" s="42"/>
      <c r="C13" s="21" t="s">
        <v>18</v>
      </c>
      <c r="D13" s="34"/>
      <c r="G13" s="37"/>
      <c r="H13" s="37"/>
      <c r="I13" s="37"/>
    </row>
    <row r="14" spans="2:9" ht="13.5" thickBot="1">
      <c r="B14" s="15" t="s">
        <v>14</v>
      </c>
      <c r="C14" s="21">
        <f>IF(COUNT(C17:C36)=0,"",AVERAGE(C17:C36))</f>
        <v>0.11000000000000003</v>
      </c>
      <c r="D14" s="23"/>
      <c r="G14" s="37"/>
      <c r="H14" s="37"/>
      <c r="I14" s="37"/>
    </row>
    <row r="15" spans="2:9" ht="13.5" thickBot="1">
      <c r="B15" s="35"/>
      <c r="C15" s="27"/>
      <c r="D15" s="23"/>
      <c r="G15" s="37"/>
      <c r="H15" s="37"/>
      <c r="I15" s="37"/>
    </row>
    <row r="16" spans="2:9" ht="13.5" thickBot="1">
      <c r="B16" s="89" t="s">
        <v>13</v>
      </c>
      <c r="C16" s="21" t="s">
        <v>18</v>
      </c>
      <c r="D16" s="23"/>
      <c r="G16" s="37"/>
      <c r="H16" s="37"/>
      <c r="I16" s="37"/>
    </row>
    <row r="17" spans="2:9" ht="12.75">
      <c r="B17" s="90">
        <v>1</v>
      </c>
      <c r="C17" s="26">
        <v>0.04</v>
      </c>
      <c r="D17" s="23"/>
      <c r="G17" s="37"/>
      <c r="H17" s="37"/>
      <c r="I17" s="37"/>
    </row>
    <row r="18" spans="2:9" ht="12.75">
      <c r="B18" s="91">
        <v>2</v>
      </c>
      <c r="C18" s="60">
        <v>0.1</v>
      </c>
      <c r="D18" s="23"/>
      <c r="G18" s="37"/>
      <c r="H18" s="37"/>
      <c r="I18" s="37"/>
    </row>
    <row r="19" spans="2:9" ht="12.75">
      <c r="B19" s="91">
        <v>3</v>
      </c>
      <c r="C19" s="60">
        <v>0.12</v>
      </c>
      <c r="D19" s="23"/>
      <c r="G19" s="37"/>
      <c r="H19" s="37"/>
      <c r="I19" s="37"/>
    </row>
    <row r="20" spans="2:9" ht="12.75">
      <c r="B20" s="91">
        <v>4</v>
      </c>
      <c r="C20" s="60">
        <v>0.03</v>
      </c>
      <c r="D20" s="23"/>
      <c r="G20" s="37"/>
      <c r="H20" s="37"/>
      <c r="I20" s="37"/>
    </row>
    <row r="21" spans="2:9" ht="12.75">
      <c r="B21" s="91">
        <v>5</v>
      </c>
      <c r="C21" s="60">
        <v>0.09</v>
      </c>
      <c r="D21" s="23"/>
      <c r="G21" s="37"/>
      <c r="H21" s="37"/>
      <c r="I21" s="37"/>
    </row>
    <row r="22" spans="2:9" ht="12.75">
      <c r="B22" s="91">
        <v>6</v>
      </c>
      <c r="C22" s="60">
        <v>0.11</v>
      </c>
      <c r="D22" s="23"/>
      <c r="G22" s="37"/>
      <c r="H22" s="37"/>
      <c r="I22" s="37"/>
    </row>
    <row r="23" spans="2:9" ht="12.75">
      <c r="B23" s="91">
        <v>7</v>
      </c>
      <c r="C23" s="60">
        <v>0.1</v>
      </c>
      <c r="D23" s="23"/>
      <c r="G23" s="37"/>
      <c r="H23" s="37"/>
      <c r="I23" s="37"/>
    </row>
    <row r="24" spans="2:9" ht="12.75">
      <c r="B24" s="91">
        <v>8</v>
      </c>
      <c r="C24" s="60">
        <v>0.22</v>
      </c>
      <c r="D24" s="23"/>
      <c r="G24" s="37"/>
      <c r="H24" s="37"/>
      <c r="I24" s="37"/>
    </row>
    <row r="25" spans="2:9" ht="12.75">
      <c r="B25" s="91">
        <v>9</v>
      </c>
      <c r="C25" s="60">
        <v>0.13</v>
      </c>
      <c r="D25" s="23"/>
      <c r="G25" s="37"/>
      <c r="H25" s="37"/>
      <c r="I25" s="37"/>
    </row>
    <row r="26" spans="2:9" ht="12.75">
      <c r="B26" s="91">
        <v>10</v>
      </c>
      <c r="C26" s="60">
        <v>0.1</v>
      </c>
      <c r="D26" s="23"/>
      <c r="G26" s="37"/>
      <c r="H26" s="37"/>
      <c r="I26" s="37"/>
    </row>
    <row r="27" spans="2:9" ht="12.75">
      <c r="B27" s="91">
        <v>11</v>
      </c>
      <c r="C27" s="60">
        <v>0.08</v>
      </c>
      <c r="D27" s="23"/>
      <c r="G27" s="37"/>
      <c r="H27" s="37"/>
      <c r="I27" s="37"/>
    </row>
    <row r="28" spans="2:4" ht="12.75">
      <c r="B28" s="91">
        <v>12</v>
      </c>
      <c r="C28" s="60">
        <v>0.12</v>
      </c>
      <c r="D28" s="23"/>
    </row>
    <row r="29" spans="2:4" ht="12.75">
      <c r="B29" s="91">
        <v>13</v>
      </c>
      <c r="C29" s="60">
        <v>0.09</v>
      </c>
      <c r="D29" s="23"/>
    </row>
    <row r="30" spans="2:4" ht="12.75">
      <c r="B30" s="91">
        <v>14</v>
      </c>
      <c r="C30" s="60">
        <v>0.1</v>
      </c>
      <c r="D30" s="23"/>
    </row>
    <row r="31" spans="2:4" ht="12.75">
      <c r="B31" s="91">
        <v>15</v>
      </c>
      <c r="C31" s="60">
        <v>0.21</v>
      </c>
      <c r="D31" s="23"/>
    </row>
    <row r="32" spans="2:4" ht="12.75">
      <c r="B32" s="91">
        <v>16</v>
      </c>
      <c r="C32" s="60">
        <v>0.1</v>
      </c>
      <c r="D32" s="23"/>
    </row>
    <row r="33" spans="2:4" ht="12.75">
      <c r="B33" s="91">
        <v>17</v>
      </c>
      <c r="C33" s="60">
        <v>0.08</v>
      </c>
      <c r="D33" s="23"/>
    </row>
    <row r="34" spans="2:4" ht="12.75">
      <c r="B34" s="91">
        <v>18</v>
      </c>
      <c r="C34" s="60">
        <v>0.12</v>
      </c>
      <c r="D34" s="23"/>
    </row>
    <row r="35" spans="2:3" ht="12.75">
      <c r="B35" s="91">
        <v>19</v>
      </c>
      <c r="C35" s="60">
        <v>0.1</v>
      </c>
    </row>
    <row r="36" spans="2:3" ht="13.5" thickBot="1">
      <c r="B36" s="92">
        <v>20</v>
      </c>
      <c r="C36" s="70">
        <v>0.16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J36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1" customWidth="1"/>
    <col min="5" max="10" width="9.28125" style="1" customWidth="1"/>
    <col min="11" max="11" width="9.7109375" style="1" customWidth="1"/>
    <col min="12" max="16384" width="9.140625" style="1" customWidth="1"/>
  </cols>
  <sheetData>
    <row r="1" spans="1:4" ht="12.75">
      <c r="A1" s="12" t="s">
        <v>16</v>
      </c>
      <c r="B1" s="4"/>
      <c r="C1" s="4"/>
      <c r="D1" s="4"/>
    </row>
    <row r="2" spans="1:4" ht="12.75">
      <c r="A2" s="4"/>
      <c r="B2" s="4"/>
      <c r="C2" s="4"/>
      <c r="D2" s="4"/>
    </row>
    <row r="3" spans="1:4" ht="12.75">
      <c r="A3" s="4"/>
      <c r="B3" s="4"/>
      <c r="C3" s="4"/>
      <c r="D3" s="4"/>
    </row>
    <row r="4" spans="1:9" ht="13.5" thickBot="1">
      <c r="A4" s="4"/>
      <c r="B4" s="4"/>
      <c r="C4" s="4"/>
      <c r="D4" s="4"/>
      <c r="G4" s="36" t="str">
        <f>"UCL = "&amp;TEXT(D9,"#,##0.0000")</f>
        <v>UCL = 7.2434</v>
      </c>
      <c r="H4" s="36" t="str">
        <f>"AVE = "&amp;TEXT(D5,"#,##0.0000")</f>
        <v>AVE = 2.5000</v>
      </c>
      <c r="I4" s="36" t="str">
        <f>"LCL = "&amp;TEXT(D10,"#,##0.0000")</f>
        <v>LCL = 0.0000</v>
      </c>
    </row>
    <row r="5" spans="1:10" ht="12.75">
      <c r="A5" s="81" t="s">
        <v>56</v>
      </c>
      <c r="B5" s="83"/>
      <c r="C5" s="83"/>
      <c r="D5" s="26">
        <v>2.5</v>
      </c>
      <c r="E5" s="1">
        <v>1</v>
      </c>
      <c r="F5" s="36">
        <f>D5+4*SQRT(D5)</f>
        <v>8.82455532033676</v>
      </c>
      <c r="G5" s="37">
        <f>D9</f>
        <v>7.243416490252569</v>
      </c>
      <c r="H5" s="37">
        <f>D5</f>
        <v>2.5</v>
      </c>
      <c r="I5" s="37">
        <f>D10</f>
        <v>0</v>
      </c>
      <c r="J5" s="36">
        <f>MAX(D5-4*SQRT(D5),0)</f>
        <v>0</v>
      </c>
    </row>
    <row r="6" spans="1:10" ht="12.75">
      <c r="A6" s="73"/>
      <c r="B6" s="82"/>
      <c r="C6" s="33" t="s">
        <v>60</v>
      </c>
      <c r="D6" s="60">
        <v>3</v>
      </c>
      <c r="E6" s="1">
        <v>20</v>
      </c>
      <c r="F6" s="36">
        <f>F$5</f>
        <v>8.82455532033676</v>
      </c>
      <c r="G6" s="37">
        <f>G$5</f>
        <v>7.243416490252569</v>
      </c>
      <c r="H6" s="37">
        <f>H$5</f>
        <v>2.5</v>
      </c>
      <c r="I6" s="37">
        <f>I$5</f>
        <v>0</v>
      </c>
      <c r="J6" s="36">
        <f>J$5</f>
        <v>0</v>
      </c>
    </row>
    <row r="7" spans="1:9" ht="13.5" thickBot="1">
      <c r="A7" s="85"/>
      <c r="B7" s="86"/>
      <c r="C7" s="98" t="s">
        <v>61</v>
      </c>
      <c r="D7" s="70">
        <v>0.1</v>
      </c>
      <c r="G7" s="37"/>
      <c r="H7" s="37"/>
      <c r="I7" s="37"/>
    </row>
    <row r="8" spans="7:9" ht="13.5" thickBot="1">
      <c r="G8" s="37"/>
      <c r="H8" s="37"/>
      <c r="I8" s="37"/>
    </row>
    <row r="9" spans="3:9" ht="12.75">
      <c r="C9" s="87" t="s">
        <v>2</v>
      </c>
      <c r="D9" s="18">
        <f>D5+D6*SQRT(D5)</f>
        <v>7.243416490252569</v>
      </c>
      <c r="G9" s="37"/>
      <c r="H9" s="37"/>
      <c r="I9" s="37"/>
    </row>
    <row r="10" spans="1:9" ht="13.5" thickBot="1">
      <c r="A10" s="42"/>
      <c r="B10" s="43"/>
      <c r="C10" s="88" t="s">
        <v>3</v>
      </c>
      <c r="D10" s="20">
        <f>MAX(D5-D6*SQRT(D5),0)</f>
        <v>0</v>
      </c>
      <c r="G10" s="37"/>
      <c r="H10" s="37"/>
      <c r="I10" s="37"/>
    </row>
    <row r="11" spans="3:9" ht="12.75">
      <c r="C11" s="44"/>
      <c r="D11" s="43"/>
      <c r="G11" s="37"/>
      <c r="H11" s="37"/>
      <c r="I11" s="37"/>
    </row>
    <row r="12" spans="1:9" ht="13.5" thickBot="1">
      <c r="A12" s="4" t="s">
        <v>58</v>
      </c>
      <c r="C12" s="34"/>
      <c r="D12" s="34"/>
      <c r="G12" s="37"/>
      <c r="H12" s="37"/>
      <c r="I12" s="37"/>
    </row>
    <row r="13" spans="2:9" ht="13.5" thickBot="1">
      <c r="B13" s="42"/>
      <c r="C13" s="21" t="s">
        <v>17</v>
      </c>
      <c r="D13" s="34"/>
      <c r="G13" s="37"/>
      <c r="H13" s="37"/>
      <c r="I13" s="37"/>
    </row>
    <row r="14" spans="2:9" ht="13.5" thickBot="1">
      <c r="B14" s="15" t="s">
        <v>14</v>
      </c>
      <c r="C14" s="21">
        <f>IF(COUNT(C17:C36)=0,"",AVERAGE(C17:C36))</f>
        <v>2.5</v>
      </c>
      <c r="D14" s="23"/>
      <c r="G14" s="37"/>
      <c r="H14" s="37"/>
      <c r="I14" s="37"/>
    </row>
    <row r="15" spans="2:9" ht="13.5" thickBot="1">
      <c r="B15" s="35"/>
      <c r="C15" s="27"/>
      <c r="D15" s="23"/>
      <c r="G15" s="37"/>
      <c r="H15" s="37"/>
      <c r="I15" s="37"/>
    </row>
    <row r="16" spans="2:9" ht="13.5" thickBot="1">
      <c r="B16" s="89" t="s">
        <v>13</v>
      </c>
      <c r="C16" s="21" t="s">
        <v>17</v>
      </c>
      <c r="D16" s="23"/>
      <c r="G16" s="37"/>
      <c r="H16" s="37"/>
      <c r="I16" s="37"/>
    </row>
    <row r="17" spans="2:9" ht="12.75">
      <c r="B17" s="90">
        <v>1</v>
      </c>
      <c r="C17" s="26">
        <v>3</v>
      </c>
      <c r="D17" s="23"/>
      <c r="G17" s="37"/>
      <c r="H17" s="37"/>
      <c r="I17" s="37"/>
    </row>
    <row r="18" spans="2:9" ht="12.75">
      <c r="B18" s="91">
        <v>2</v>
      </c>
      <c r="C18" s="60">
        <v>2</v>
      </c>
      <c r="D18" s="23"/>
      <c r="G18" s="37"/>
      <c r="H18" s="37"/>
      <c r="I18" s="37"/>
    </row>
    <row r="19" spans="2:9" ht="12.75">
      <c r="B19" s="91">
        <v>3</v>
      </c>
      <c r="C19" s="60">
        <v>4</v>
      </c>
      <c r="D19" s="23"/>
      <c r="G19" s="37"/>
      <c r="H19" s="37"/>
      <c r="I19" s="37"/>
    </row>
    <row r="20" spans="2:9" ht="12.75">
      <c r="B20" s="91">
        <v>4</v>
      </c>
      <c r="C20" s="60">
        <v>5</v>
      </c>
      <c r="D20" s="23"/>
      <c r="G20" s="37"/>
      <c r="H20" s="37"/>
      <c r="I20" s="37"/>
    </row>
    <row r="21" spans="2:9" ht="12.75">
      <c r="B21" s="91">
        <v>5</v>
      </c>
      <c r="C21" s="60">
        <v>1</v>
      </c>
      <c r="D21" s="23"/>
      <c r="G21" s="37"/>
      <c r="H21" s="37"/>
      <c r="I21" s="37"/>
    </row>
    <row r="22" spans="2:9" ht="12.75">
      <c r="B22" s="91">
        <v>6</v>
      </c>
      <c r="C22" s="60">
        <v>2</v>
      </c>
      <c r="D22" s="23"/>
      <c r="G22" s="37"/>
      <c r="H22" s="37"/>
      <c r="I22" s="37"/>
    </row>
    <row r="23" spans="2:9" ht="12.75">
      <c r="B23" s="91">
        <v>7</v>
      </c>
      <c r="C23" s="60">
        <v>4</v>
      </c>
      <c r="D23" s="23"/>
      <c r="G23" s="37"/>
      <c r="H23" s="37"/>
      <c r="I23" s="37"/>
    </row>
    <row r="24" spans="2:9" ht="12.75">
      <c r="B24" s="91">
        <v>8</v>
      </c>
      <c r="C24" s="60">
        <v>1</v>
      </c>
      <c r="D24" s="23"/>
      <c r="G24" s="37"/>
      <c r="H24" s="37"/>
      <c r="I24" s="37"/>
    </row>
    <row r="25" spans="2:9" ht="12.75">
      <c r="B25" s="91">
        <v>9</v>
      </c>
      <c r="C25" s="60">
        <v>2</v>
      </c>
      <c r="D25" s="23"/>
      <c r="G25" s="37"/>
      <c r="H25" s="37"/>
      <c r="I25" s="37"/>
    </row>
    <row r="26" spans="2:9" ht="12.75">
      <c r="B26" s="91">
        <v>10</v>
      </c>
      <c r="C26" s="60">
        <v>1</v>
      </c>
      <c r="D26" s="23"/>
      <c r="G26" s="37"/>
      <c r="H26" s="37"/>
      <c r="I26" s="37"/>
    </row>
    <row r="27" spans="2:9" ht="12.75">
      <c r="B27" s="91">
        <v>11</v>
      </c>
      <c r="C27" s="60">
        <v>3</v>
      </c>
      <c r="D27" s="23"/>
      <c r="G27" s="37"/>
      <c r="H27" s="37"/>
      <c r="I27" s="37"/>
    </row>
    <row r="28" spans="2:4" ht="12.75">
      <c r="B28" s="91">
        <v>12</v>
      </c>
      <c r="C28" s="60">
        <v>4</v>
      </c>
      <c r="D28" s="23"/>
    </row>
    <row r="29" spans="2:4" ht="12.75">
      <c r="B29" s="91">
        <v>13</v>
      </c>
      <c r="C29" s="60">
        <v>2</v>
      </c>
      <c r="D29" s="23"/>
    </row>
    <row r="30" spans="2:4" ht="12.75">
      <c r="B30" s="91">
        <v>14</v>
      </c>
      <c r="C30" s="60">
        <v>4</v>
      </c>
      <c r="D30" s="23"/>
    </row>
    <row r="31" spans="2:4" ht="12.75">
      <c r="B31" s="91">
        <v>15</v>
      </c>
      <c r="C31" s="60">
        <v>2</v>
      </c>
      <c r="D31" s="23"/>
    </row>
    <row r="32" spans="2:4" ht="12.75">
      <c r="B32" s="91">
        <v>16</v>
      </c>
      <c r="C32" s="60">
        <v>1</v>
      </c>
      <c r="D32" s="23"/>
    </row>
    <row r="33" spans="2:4" ht="12.75">
      <c r="B33" s="91">
        <v>17</v>
      </c>
      <c r="C33" s="60">
        <v>3</v>
      </c>
      <c r="D33" s="23"/>
    </row>
    <row r="34" spans="2:4" ht="12.75">
      <c r="B34" s="91">
        <v>18</v>
      </c>
      <c r="C34" s="60">
        <v>1</v>
      </c>
      <c r="D34" s="23"/>
    </row>
    <row r="35" spans="2:3" ht="12.75">
      <c r="B35" s="91">
        <v>19</v>
      </c>
      <c r="C35" s="60"/>
    </row>
    <row r="36" spans="2:3" ht="13.5" thickBot="1">
      <c r="B36" s="92">
        <v>20</v>
      </c>
      <c r="C36" s="70"/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"/>
  <dimension ref="A1:O75"/>
  <sheetViews>
    <sheetView workbookViewId="0" topLeftCell="A1">
      <selection activeCell="B19" sqref="B19"/>
    </sheetView>
  </sheetViews>
  <sheetFormatPr defaultColWidth="9.140625" defaultRowHeight="12.75"/>
  <cols>
    <col min="1" max="4" width="12.7109375" style="1" customWidth="1"/>
    <col min="5" max="10" width="9.28125" style="1" customWidth="1"/>
    <col min="11" max="11" width="9.7109375" style="1" customWidth="1"/>
    <col min="12" max="13" width="9.140625" style="1" customWidth="1"/>
    <col min="14" max="15" width="0" style="1" hidden="1" customWidth="1"/>
    <col min="16" max="16384" width="9.140625" style="1" customWidth="1"/>
  </cols>
  <sheetData>
    <row r="1" spans="1:4" ht="13.5" thickBot="1">
      <c r="A1" s="12" t="s">
        <v>22</v>
      </c>
      <c r="B1" s="4"/>
      <c r="C1" s="4"/>
      <c r="D1" s="4"/>
    </row>
    <row r="2" spans="1:15" ht="13.5" thickBot="1">
      <c r="A2" s="4"/>
      <c r="B2" s="4"/>
      <c r="C2" s="4"/>
      <c r="D2" s="4"/>
      <c r="N2" s="149">
        <f aca="true" t="shared" si="0" ref="N2:N33">IF(ISNUMBER(B16),IF(OR(C16&lt;&gt;C15,C16=""),1,0),"")</f>
        <v>1</v>
      </c>
      <c r="O2" s="84"/>
    </row>
    <row r="3" spans="1:15" ht="12.75">
      <c r="A3" s="66"/>
      <c r="B3" s="67" t="s">
        <v>38</v>
      </c>
      <c r="C3" s="26">
        <v>20</v>
      </c>
      <c r="D3" s="23"/>
      <c r="N3" s="150">
        <f t="shared" si="0"/>
        <v>0</v>
      </c>
      <c r="O3" s="151">
        <f aca="true" t="shared" si="1" ref="O3:O34">IF(AND(ISNUMBER(B16),ISNUMBER(B17)),IF(OR(D17&lt;&gt;D16,D17=""),1,0),"")</f>
        <v>1</v>
      </c>
    </row>
    <row r="4" spans="1:15" ht="13.5" thickBot="1">
      <c r="A4" s="68"/>
      <c r="B4" s="69" t="s">
        <v>39</v>
      </c>
      <c r="C4" s="70">
        <f>B13</f>
        <v>11</v>
      </c>
      <c r="D4" s="23"/>
      <c r="F4" s="36" t="str">
        <f>"Median = "&amp;TEXT(C4,"#,##0.0000")</f>
        <v>Median = 11.0000</v>
      </c>
      <c r="G4" s="36"/>
      <c r="N4" s="150">
        <f t="shared" si="0"/>
        <v>0</v>
      </c>
      <c r="O4" s="151">
        <f t="shared" si="1"/>
        <v>1</v>
      </c>
    </row>
    <row r="5" spans="1:15" ht="13.5" thickBot="1">
      <c r="A5" s="4"/>
      <c r="B5" s="23"/>
      <c r="C5" s="23"/>
      <c r="D5" s="23"/>
      <c r="E5" s="1">
        <v>1</v>
      </c>
      <c r="F5" s="37">
        <f>C4</f>
        <v>11</v>
      </c>
      <c r="G5" s="37"/>
      <c r="N5" s="150">
        <f t="shared" si="0"/>
        <v>1</v>
      </c>
      <c r="O5" s="151">
        <f t="shared" si="1"/>
        <v>1</v>
      </c>
    </row>
    <row r="6" spans="1:15" ht="13.5" thickBot="1">
      <c r="A6" s="4"/>
      <c r="B6" s="23"/>
      <c r="C6" s="71" t="s">
        <v>19</v>
      </c>
      <c r="D6" s="72" t="s">
        <v>21</v>
      </c>
      <c r="E6" s="1">
        <v>20</v>
      </c>
      <c r="F6" s="37">
        <f>F$5</f>
        <v>11</v>
      </c>
      <c r="G6" s="37"/>
      <c r="N6" s="150">
        <f t="shared" si="0"/>
        <v>1</v>
      </c>
      <c r="O6" s="151">
        <f t="shared" si="1"/>
        <v>1</v>
      </c>
    </row>
    <row r="7" spans="1:15" ht="12.75">
      <c r="A7" s="134" t="s">
        <v>66</v>
      </c>
      <c r="B7" s="139"/>
      <c r="C7" s="29">
        <f>IF(C3&lt;=1,"",C3/2+1)</f>
        <v>11</v>
      </c>
      <c r="D7" s="75">
        <f>IF(C3&lt;=1,"",(2*C3-1)/3)</f>
        <v>13</v>
      </c>
      <c r="G7" s="37"/>
      <c r="H7" s="37"/>
      <c r="N7" s="150">
        <f t="shared" si="0"/>
        <v>1</v>
      </c>
      <c r="O7" s="151">
        <f t="shared" si="1"/>
        <v>1</v>
      </c>
    </row>
    <row r="8" spans="1:15" ht="12.75">
      <c r="A8" s="135" t="s">
        <v>25</v>
      </c>
      <c r="B8" s="138" t="s">
        <v>62</v>
      </c>
      <c r="C8" s="65">
        <f>IF(C3&lt;=1,"",SQRT((C3-1)/4))</f>
        <v>2.179449471770337</v>
      </c>
      <c r="D8" s="76">
        <f>IF(C3&lt;=1,"",SQRT((16*C3-29)/90))</f>
        <v>1.798147194568157</v>
      </c>
      <c r="G8" s="37"/>
      <c r="H8" s="37"/>
      <c r="N8" s="150">
        <f t="shared" si="0"/>
        <v>0</v>
      </c>
      <c r="O8" s="151">
        <f t="shared" si="1"/>
        <v>1</v>
      </c>
    </row>
    <row r="9" spans="1:15" ht="12.75">
      <c r="A9" s="135" t="s">
        <v>26</v>
      </c>
      <c r="B9" s="109"/>
      <c r="C9" s="65">
        <f>IF(C3&lt;=1,"",SUM(N2:N61))</f>
        <v>10</v>
      </c>
      <c r="D9" s="76">
        <f>IF(C3&lt;=1,"",SUM(O2:O61))</f>
        <v>17</v>
      </c>
      <c r="G9" s="37"/>
      <c r="H9" s="37"/>
      <c r="N9" s="150">
        <f t="shared" si="0"/>
        <v>0</v>
      </c>
      <c r="O9" s="151">
        <f t="shared" si="1"/>
        <v>1</v>
      </c>
    </row>
    <row r="10" spans="1:15" ht="12.75">
      <c r="A10" s="136"/>
      <c r="B10" s="74" t="s">
        <v>64</v>
      </c>
      <c r="C10" s="65">
        <f>IF(C3&lt;=1,"",(C9-C7)/C8)</f>
        <v>-0.4588314677411235</v>
      </c>
      <c r="D10" s="76">
        <f>IF(C3&lt;=1,"",(D9-D7)/D8)</f>
        <v>2.224511993280194</v>
      </c>
      <c r="G10" s="37"/>
      <c r="H10" s="37"/>
      <c r="N10" s="150">
        <f t="shared" si="0"/>
        <v>1</v>
      </c>
      <c r="O10" s="151">
        <f t="shared" si="1"/>
        <v>1</v>
      </c>
    </row>
    <row r="11" spans="1:15" ht="13.5" thickBot="1">
      <c r="A11" s="137"/>
      <c r="B11" s="69" t="s">
        <v>65</v>
      </c>
      <c r="C11" s="64">
        <f>IF(C3&lt;=1,"",1-2*NORMSDIST(-ABS(C10)))</f>
        <v>0.3536447719736553</v>
      </c>
      <c r="D11" s="77">
        <f>IF(C3&lt;=1,"",1-2*NORMSDIST(-ABS(D10)))</f>
        <v>0.9738860718078337</v>
      </c>
      <c r="G11" s="37"/>
      <c r="H11" s="37"/>
      <c r="N11" s="150">
        <f t="shared" si="0"/>
        <v>0</v>
      </c>
      <c r="O11" s="151">
        <f t="shared" si="1"/>
        <v>1</v>
      </c>
    </row>
    <row r="12" spans="1:15" ht="13.5" thickBot="1">
      <c r="A12" s="4"/>
      <c r="B12" s="23"/>
      <c r="C12" s="23"/>
      <c r="D12" s="23"/>
      <c r="G12" s="37"/>
      <c r="H12" s="37"/>
      <c r="N12" s="150">
        <f t="shared" si="0"/>
        <v>0</v>
      </c>
      <c r="O12" s="151">
        <f t="shared" si="1"/>
        <v>1</v>
      </c>
    </row>
    <row r="13" spans="1:15" ht="13.5" thickBot="1">
      <c r="A13" s="78" t="s">
        <v>19</v>
      </c>
      <c r="B13" s="21">
        <f>IF(COUNT(B16:B75)=0,"",MEDIAN(B16:B75))</f>
        <v>11</v>
      </c>
      <c r="C13" s="23"/>
      <c r="D13" s="23"/>
      <c r="G13" s="37"/>
      <c r="H13" s="37"/>
      <c r="N13" s="150">
        <f t="shared" si="0"/>
        <v>1</v>
      </c>
      <c r="O13" s="151">
        <f t="shared" si="1"/>
        <v>1</v>
      </c>
    </row>
    <row r="14" spans="1:15" ht="13.5" thickBot="1">
      <c r="A14" s="35"/>
      <c r="B14" s="27"/>
      <c r="C14" s="34"/>
      <c r="D14" s="34"/>
      <c r="G14" s="37"/>
      <c r="H14" s="37"/>
      <c r="N14" s="150">
        <f t="shared" si="0"/>
        <v>1</v>
      </c>
      <c r="O14" s="151">
        <f t="shared" si="1"/>
        <v>1</v>
      </c>
    </row>
    <row r="15" spans="1:15" ht="13.5" thickBot="1">
      <c r="A15" s="16" t="s">
        <v>13</v>
      </c>
      <c r="B15" s="21" t="s">
        <v>0</v>
      </c>
      <c r="C15" s="21" t="s">
        <v>20</v>
      </c>
      <c r="D15" s="79" t="s">
        <v>21</v>
      </c>
      <c r="G15" s="37"/>
      <c r="H15" s="37"/>
      <c r="N15" s="150">
        <f t="shared" si="0"/>
        <v>1</v>
      </c>
      <c r="O15" s="151">
        <f t="shared" si="1"/>
        <v>1</v>
      </c>
    </row>
    <row r="16" spans="1:15" ht="12.75">
      <c r="A16" s="45">
        <v>1</v>
      </c>
      <c r="B16" s="26">
        <v>10</v>
      </c>
      <c r="C16" s="29" t="str">
        <f>IF(ISNUMBER(B16),IF(B16&gt;$C$4,"A",IF(B16&lt;$C$4,"B","")),"")</f>
        <v>B</v>
      </c>
      <c r="D16" s="75"/>
      <c r="G16" s="37"/>
      <c r="H16" s="37"/>
      <c r="N16" s="150">
        <f t="shared" si="0"/>
        <v>0</v>
      </c>
      <c r="O16" s="151">
        <f t="shared" si="1"/>
        <v>1</v>
      </c>
    </row>
    <row r="17" spans="1:15" ht="12.75">
      <c r="A17" s="55">
        <v>2</v>
      </c>
      <c r="B17" s="60">
        <v>10.4</v>
      </c>
      <c r="C17" s="65" t="str">
        <f>IF(ISNUMBER(B17),IF(B17&gt;$C$4,"A",IF(B17&lt;$C$4,"B",C16)),"")</f>
        <v>B</v>
      </c>
      <c r="D17" s="76" t="str">
        <f>IF(AND(ISNUMBER(B16),ISNUMBER(B17)),IF(B17&gt;B16,"U",IF(B17&lt;B16,"D","")),"")</f>
        <v>U</v>
      </c>
      <c r="G17" s="37"/>
      <c r="H17" s="37"/>
      <c r="N17" s="150">
        <f t="shared" si="0"/>
        <v>0</v>
      </c>
      <c r="O17" s="151">
        <f t="shared" si="1"/>
        <v>1</v>
      </c>
    </row>
    <row r="18" spans="1:15" ht="12.75">
      <c r="A18" s="55">
        <v>3</v>
      </c>
      <c r="B18" s="60">
        <v>10.2</v>
      </c>
      <c r="C18" s="65" t="str">
        <f aca="true" t="shared" si="2" ref="C18:C75">IF(ISNUMBER(B18),IF(B18&gt;$C$4,"A",IF(B18&lt;$C$4,"B",C17)),"")</f>
        <v>B</v>
      </c>
      <c r="D18" s="76" t="str">
        <f>IF(AND(ISNUMBER(B17),ISNUMBER(B18)),IF(B18&gt;B17,"U",IF(B18&lt;B17,"D",D17)),"")</f>
        <v>D</v>
      </c>
      <c r="G18" s="37"/>
      <c r="H18" s="37"/>
      <c r="N18" s="150">
        <f t="shared" si="0"/>
        <v>0</v>
      </c>
      <c r="O18" s="151">
        <f t="shared" si="1"/>
        <v>1</v>
      </c>
    </row>
    <row r="19" spans="1:15" ht="12.75">
      <c r="A19" s="55">
        <v>4</v>
      </c>
      <c r="B19" s="60">
        <v>11.5</v>
      </c>
      <c r="C19" s="65" t="str">
        <f t="shared" si="2"/>
        <v>A</v>
      </c>
      <c r="D19" s="76" t="str">
        <f aca="true" t="shared" si="3" ref="D19:D75">IF(AND(ISNUMBER(B18),ISNUMBER(B19)),IF(B19&gt;B18,"U",IF(B19&lt;B18,"D",D18)),"")</f>
        <v>U</v>
      </c>
      <c r="G19" s="37"/>
      <c r="H19" s="37"/>
      <c r="N19" s="150">
        <f t="shared" si="0"/>
        <v>1</v>
      </c>
      <c r="O19" s="151">
        <f t="shared" si="1"/>
        <v>0</v>
      </c>
    </row>
    <row r="20" spans="1:15" ht="12.75">
      <c r="A20" s="55">
        <v>5</v>
      </c>
      <c r="B20" s="60">
        <v>10.8</v>
      </c>
      <c r="C20" s="65" t="str">
        <f t="shared" si="2"/>
        <v>B</v>
      </c>
      <c r="D20" s="76" t="str">
        <f t="shared" si="3"/>
        <v>D</v>
      </c>
      <c r="G20" s="37"/>
      <c r="H20" s="37"/>
      <c r="N20" s="150">
        <f t="shared" si="0"/>
        <v>0</v>
      </c>
      <c r="O20" s="151">
        <f t="shared" si="1"/>
        <v>1</v>
      </c>
    </row>
    <row r="21" spans="1:15" ht="12.75">
      <c r="A21" s="55">
        <v>6</v>
      </c>
      <c r="B21" s="60">
        <v>11.6</v>
      </c>
      <c r="C21" s="65" t="str">
        <f t="shared" si="2"/>
        <v>A</v>
      </c>
      <c r="D21" s="76" t="str">
        <f t="shared" si="3"/>
        <v>U</v>
      </c>
      <c r="G21" s="37"/>
      <c r="H21" s="37"/>
      <c r="N21" s="150">
        <f t="shared" si="0"/>
        <v>1</v>
      </c>
      <c r="O21" s="151">
        <f t="shared" si="1"/>
        <v>0</v>
      </c>
    </row>
    <row r="22" spans="1:15" ht="12.75">
      <c r="A22" s="55">
        <v>7</v>
      </c>
      <c r="B22" s="60">
        <v>11.1</v>
      </c>
      <c r="C22" s="65" t="str">
        <f t="shared" si="2"/>
        <v>A</v>
      </c>
      <c r="D22" s="76" t="str">
        <f t="shared" si="3"/>
        <v>D</v>
      </c>
      <c r="G22" s="37"/>
      <c r="H22" s="37"/>
      <c r="N22" s="150">
        <f t="shared" si="0"/>
      </c>
      <c r="O22" s="151">
        <f t="shared" si="1"/>
      </c>
    </row>
    <row r="23" spans="1:15" ht="12.75">
      <c r="A23" s="55">
        <v>8</v>
      </c>
      <c r="B23" s="60">
        <v>11.2</v>
      </c>
      <c r="C23" s="65" t="str">
        <f t="shared" si="2"/>
        <v>A</v>
      </c>
      <c r="D23" s="76" t="str">
        <f t="shared" si="3"/>
        <v>U</v>
      </c>
      <c r="G23" s="37"/>
      <c r="H23" s="37"/>
      <c r="N23" s="150">
        <f t="shared" si="0"/>
      </c>
      <c r="O23" s="151">
        <f t="shared" si="1"/>
      </c>
    </row>
    <row r="24" spans="1:15" ht="12.75">
      <c r="A24" s="55">
        <v>9</v>
      </c>
      <c r="B24" s="60">
        <v>10.6</v>
      </c>
      <c r="C24" s="65" t="str">
        <f t="shared" si="2"/>
        <v>B</v>
      </c>
      <c r="D24" s="76" t="str">
        <f t="shared" si="3"/>
        <v>D</v>
      </c>
      <c r="G24" s="37"/>
      <c r="H24" s="37"/>
      <c r="N24" s="150">
        <f t="shared" si="0"/>
      </c>
      <c r="O24" s="151">
        <f t="shared" si="1"/>
      </c>
    </row>
    <row r="25" spans="1:15" ht="12.75">
      <c r="A25" s="55">
        <v>10</v>
      </c>
      <c r="B25" s="60">
        <v>10.9</v>
      </c>
      <c r="C25" s="65" t="str">
        <f t="shared" si="2"/>
        <v>B</v>
      </c>
      <c r="D25" s="76" t="str">
        <f t="shared" si="3"/>
        <v>U</v>
      </c>
      <c r="G25" s="37"/>
      <c r="H25" s="37"/>
      <c r="N25" s="150">
        <f t="shared" si="0"/>
      </c>
      <c r="O25" s="151">
        <f t="shared" si="1"/>
      </c>
    </row>
    <row r="26" spans="1:15" ht="12.75">
      <c r="A26" s="55">
        <v>11</v>
      </c>
      <c r="B26" s="60">
        <v>10.7</v>
      </c>
      <c r="C26" s="65" t="str">
        <f t="shared" si="2"/>
        <v>B</v>
      </c>
      <c r="D26" s="76" t="str">
        <f t="shared" si="3"/>
        <v>D</v>
      </c>
      <c r="G26" s="37"/>
      <c r="H26" s="37"/>
      <c r="N26" s="150">
        <f t="shared" si="0"/>
      </c>
      <c r="O26" s="151">
        <f t="shared" si="1"/>
      </c>
    </row>
    <row r="27" spans="1:15" ht="12.75">
      <c r="A27" s="55">
        <v>12</v>
      </c>
      <c r="B27" s="60">
        <v>11.3</v>
      </c>
      <c r="C27" s="65" t="str">
        <f t="shared" si="2"/>
        <v>A</v>
      </c>
      <c r="D27" s="76" t="str">
        <f t="shared" si="3"/>
        <v>U</v>
      </c>
      <c r="G27" s="37"/>
      <c r="H27" s="37"/>
      <c r="N27" s="150">
        <f t="shared" si="0"/>
      </c>
      <c r="O27" s="151">
        <f t="shared" si="1"/>
      </c>
    </row>
    <row r="28" spans="1:15" ht="12.75">
      <c r="A28" s="55">
        <v>13</v>
      </c>
      <c r="B28" s="60">
        <v>10.8</v>
      </c>
      <c r="C28" s="65" t="str">
        <f t="shared" si="2"/>
        <v>B</v>
      </c>
      <c r="D28" s="76" t="str">
        <f t="shared" si="3"/>
        <v>D</v>
      </c>
      <c r="N28" s="150">
        <f t="shared" si="0"/>
      </c>
      <c r="O28" s="151">
        <f t="shared" si="1"/>
      </c>
    </row>
    <row r="29" spans="1:15" ht="12.75">
      <c r="A29" s="55">
        <v>14</v>
      </c>
      <c r="B29" s="60">
        <v>11.8</v>
      </c>
      <c r="C29" s="65" t="str">
        <f t="shared" si="2"/>
        <v>A</v>
      </c>
      <c r="D29" s="76" t="str">
        <f t="shared" si="3"/>
        <v>U</v>
      </c>
      <c r="N29" s="150">
        <f t="shared" si="0"/>
      </c>
      <c r="O29" s="151">
        <f t="shared" si="1"/>
      </c>
    </row>
    <row r="30" spans="1:15" ht="12.75">
      <c r="A30" s="55">
        <v>15</v>
      </c>
      <c r="B30" s="60">
        <v>11.2</v>
      </c>
      <c r="C30" s="65" t="str">
        <f t="shared" si="2"/>
        <v>A</v>
      </c>
      <c r="D30" s="76" t="str">
        <f t="shared" si="3"/>
        <v>D</v>
      </c>
      <c r="N30" s="150">
        <f t="shared" si="0"/>
      </c>
      <c r="O30" s="151">
        <f t="shared" si="1"/>
      </c>
    </row>
    <row r="31" spans="1:15" ht="12.75">
      <c r="A31" s="55">
        <v>16</v>
      </c>
      <c r="B31" s="60">
        <v>11.6</v>
      </c>
      <c r="C31" s="65" t="str">
        <f t="shared" si="2"/>
        <v>A</v>
      </c>
      <c r="D31" s="76" t="str">
        <f t="shared" si="3"/>
        <v>U</v>
      </c>
      <c r="N31" s="150">
        <f t="shared" si="0"/>
      </c>
      <c r="O31" s="151">
        <f t="shared" si="1"/>
      </c>
    </row>
    <row r="32" spans="1:15" ht="12.75">
      <c r="A32" s="55">
        <v>17</v>
      </c>
      <c r="B32" s="60">
        <v>11.2</v>
      </c>
      <c r="C32" s="65" t="str">
        <f t="shared" si="2"/>
        <v>A</v>
      </c>
      <c r="D32" s="76" t="str">
        <f t="shared" si="3"/>
        <v>D</v>
      </c>
      <c r="N32" s="150">
        <f t="shared" si="0"/>
      </c>
      <c r="O32" s="151">
        <f t="shared" si="1"/>
      </c>
    </row>
    <row r="33" spans="1:15" ht="12.75">
      <c r="A33" s="55">
        <v>18</v>
      </c>
      <c r="B33" s="60">
        <v>10.6</v>
      </c>
      <c r="C33" s="65" t="str">
        <f t="shared" si="2"/>
        <v>B</v>
      </c>
      <c r="D33" s="76" t="str">
        <f t="shared" si="3"/>
        <v>D</v>
      </c>
      <c r="N33" s="150">
        <f t="shared" si="0"/>
      </c>
      <c r="O33" s="151">
        <f t="shared" si="1"/>
      </c>
    </row>
    <row r="34" spans="1:15" ht="12.75">
      <c r="A34" s="55">
        <v>19</v>
      </c>
      <c r="B34" s="60">
        <v>10.7</v>
      </c>
      <c r="C34" s="65" t="str">
        <f t="shared" si="2"/>
        <v>B</v>
      </c>
      <c r="D34" s="76" t="str">
        <f t="shared" si="3"/>
        <v>U</v>
      </c>
      <c r="N34" s="150">
        <f aca="true" t="shared" si="4" ref="N34:N61">IF(ISNUMBER(B48),IF(OR(C48&lt;&gt;C47,C48=""),1,0),"")</f>
      </c>
      <c r="O34" s="151">
        <f t="shared" si="1"/>
      </c>
    </row>
    <row r="35" spans="1:15" ht="12.75">
      <c r="A35" s="55">
        <v>20</v>
      </c>
      <c r="B35" s="60">
        <v>11.9</v>
      </c>
      <c r="C35" s="65" t="str">
        <f t="shared" si="2"/>
        <v>A</v>
      </c>
      <c r="D35" s="76" t="str">
        <f t="shared" si="3"/>
        <v>U</v>
      </c>
      <c r="N35" s="150">
        <f t="shared" si="4"/>
      </c>
      <c r="O35" s="151">
        <f aca="true" t="shared" si="5" ref="O35:O61">IF(AND(ISNUMBER(B48),ISNUMBER(B49)),IF(OR(D49&lt;&gt;D48,D49=""),1,0),"")</f>
      </c>
    </row>
    <row r="36" spans="1:15" ht="12.75">
      <c r="A36" s="55">
        <v>21</v>
      </c>
      <c r="B36" s="60"/>
      <c r="C36" s="65">
        <f t="shared" si="2"/>
      </c>
      <c r="D36" s="76">
        <f t="shared" si="3"/>
      </c>
      <c r="N36" s="150">
        <f t="shared" si="4"/>
      </c>
      <c r="O36" s="151">
        <f t="shared" si="5"/>
      </c>
    </row>
    <row r="37" spans="1:15" ht="12.75">
      <c r="A37" s="55">
        <v>22</v>
      </c>
      <c r="B37" s="60"/>
      <c r="C37" s="65">
        <f t="shared" si="2"/>
      </c>
      <c r="D37" s="76">
        <f t="shared" si="3"/>
      </c>
      <c r="N37" s="150">
        <f t="shared" si="4"/>
      </c>
      <c r="O37" s="151">
        <f t="shared" si="5"/>
      </c>
    </row>
    <row r="38" spans="1:15" ht="12.75">
      <c r="A38" s="55">
        <v>23</v>
      </c>
      <c r="B38" s="60"/>
      <c r="C38" s="65">
        <f t="shared" si="2"/>
      </c>
      <c r="D38" s="76">
        <f t="shared" si="3"/>
      </c>
      <c r="N38" s="150">
        <f t="shared" si="4"/>
      </c>
      <c r="O38" s="151">
        <f t="shared" si="5"/>
      </c>
    </row>
    <row r="39" spans="1:15" ht="12.75">
      <c r="A39" s="55">
        <v>24</v>
      </c>
      <c r="B39" s="60"/>
      <c r="C39" s="65">
        <f t="shared" si="2"/>
      </c>
      <c r="D39" s="76">
        <f t="shared" si="3"/>
      </c>
      <c r="N39" s="150">
        <f t="shared" si="4"/>
      </c>
      <c r="O39" s="151">
        <f t="shared" si="5"/>
      </c>
    </row>
    <row r="40" spans="1:15" ht="12.75">
      <c r="A40" s="55">
        <v>25</v>
      </c>
      <c r="B40" s="60"/>
      <c r="C40" s="65">
        <f t="shared" si="2"/>
      </c>
      <c r="D40" s="76">
        <f t="shared" si="3"/>
      </c>
      <c r="N40" s="150">
        <f t="shared" si="4"/>
      </c>
      <c r="O40" s="151">
        <f t="shared" si="5"/>
      </c>
    </row>
    <row r="41" spans="1:15" ht="12.75">
      <c r="A41" s="55">
        <v>26</v>
      </c>
      <c r="B41" s="60"/>
      <c r="C41" s="65">
        <f t="shared" si="2"/>
      </c>
      <c r="D41" s="76">
        <f t="shared" si="3"/>
      </c>
      <c r="N41" s="150">
        <f t="shared" si="4"/>
      </c>
      <c r="O41" s="151">
        <f t="shared" si="5"/>
      </c>
    </row>
    <row r="42" spans="1:15" ht="12.75">
      <c r="A42" s="55">
        <v>27</v>
      </c>
      <c r="B42" s="60"/>
      <c r="C42" s="65">
        <f t="shared" si="2"/>
      </c>
      <c r="D42" s="76">
        <f t="shared" si="3"/>
      </c>
      <c r="N42" s="150">
        <f t="shared" si="4"/>
      </c>
      <c r="O42" s="151">
        <f t="shared" si="5"/>
      </c>
    </row>
    <row r="43" spans="1:15" ht="12.75">
      <c r="A43" s="55">
        <v>28</v>
      </c>
      <c r="B43" s="60"/>
      <c r="C43" s="65">
        <f t="shared" si="2"/>
      </c>
      <c r="D43" s="76">
        <f t="shared" si="3"/>
      </c>
      <c r="N43" s="150">
        <f t="shared" si="4"/>
      </c>
      <c r="O43" s="151">
        <f t="shared" si="5"/>
      </c>
    </row>
    <row r="44" spans="1:15" ht="12.75">
      <c r="A44" s="55">
        <v>29</v>
      </c>
      <c r="B44" s="60"/>
      <c r="C44" s="65">
        <f t="shared" si="2"/>
      </c>
      <c r="D44" s="76">
        <f t="shared" si="3"/>
      </c>
      <c r="N44" s="150">
        <f t="shared" si="4"/>
      </c>
      <c r="O44" s="151">
        <f t="shared" si="5"/>
      </c>
    </row>
    <row r="45" spans="1:15" ht="12.75">
      <c r="A45" s="55">
        <v>30</v>
      </c>
      <c r="B45" s="60"/>
      <c r="C45" s="65">
        <f t="shared" si="2"/>
      </c>
      <c r="D45" s="76">
        <f t="shared" si="3"/>
      </c>
      <c r="N45" s="150">
        <f t="shared" si="4"/>
      </c>
      <c r="O45" s="151">
        <f t="shared" si="5"/>
      </c>
    </row>
    <row r="46" spans="1:15" ht="12.75">
      <c r="A46" s="55">
        <v>31</v>
      </c>
      <c r="B46" s="60"/>
      <c r="C46" s="65">
        <f t="shared" si="2"/>
      </c>
      <c r="D46" s="76">
        <f t="shared" si="3"/>
      </c>
      <c r="N46" s="150">
        <f t="shared" si="4"/>
      </c>
      <c r="O46" s="151">
        <f t="shared" si="5"/>
      </c>
    </row>
    <row r="47" spans="1:15" ht="12.75">
      <c r="A47" s="55">
        <v>32</v>
      </c>
      <c r="B47" s="60"/>
      <c r="C47" s="65">
        <f t="shared" si="2"/>
      </c>
      <c r="D47" s="76">
        <f t="shared" si="3"/>
      </c>
      <c r="N47" s="150">
        <f t="shared" si="4"/>
      </c>
      <c r="O47" s="151">
        <f t="shared" si="5"/>
      </c>
    </row>
    <row r="48" spans="1:15" ht="12.75">
      <c r="A48" s="55">
        <v>33</v>
      </c>
      <c r="B48" s="60"/>
      <c r="C48" s="65">
        <f t="shared" si="2"/>
      </c>
      <c r="D48" s="76">
        <f t="shared" si="3"/>
      </c>
      <c r="N48" s="150">
        <f t="shared" si="4"/>
      </c>
      <c r="O48" s="151">
        <f t="shared" si="5"/>
      </c>
    </row>
    <row r="49" spans="1:15" ht="12.75">
      <c r="A49" s="55">
        <v>34</v>
      </c>
      <c r="B49" s="60"/>
      <c r="C49" s="65">
        <f t="shared" si="2"/>
      </c>
      <c r="D49" s="76">
        <f t="shared" si="3"/>
      </c>
      <c r="N49" s="150">
        <f t="shared" si="4"/>
      </c>
      <c r="O49" s="151">
        <f t="shared" si="5"/>
      </c>
    </row>
    <row r="50" spans="1:15" ht="12.75">
      <c r="A50" s="55">
        <v>35</v>
      </c>
      <c r="B50" s="60"/>
      <c r="C50" s="65">
        <f t="shared" si="2"/>
      </c>
      <c r="D50" s="76">
        <f t="shared" si="3"/>
      </c>
      <c r="N50" s="150">
        <f t="shared" si="4"/>
      </c>
      <c r="O50" s="151">
        <f t="shared" si="5"/>
      </c>
    </row>
    <row r="51" spans="1:15" ht="12.75">
      <c r="A51" s="55">
        <v>36</v>
      </c>
      <c r="B51" s="60"/>
      <c r="C51" s="65">
        <f t="shared" si="2"/>
      </c>
      <c r="D51" s="76">
        <f t="shared" si="3"/>
      </c>
      <c r="N51" s="150">
        <f t="shared" si="4"/>
      </c>
      <c r="O51" s="151">
        <f t="shared" si="5"/>
      </c>
    </row>
    <row r="52" spans="1:15" ht="12.75">
      <c r="A52" s="55">
        <v>37</v>
      </c>
      <c r="B52" s="60"/>
      <c r="C52" s="65">
        <f t="shared" si="2"/>
      </c>
      <c r="D52" s="76">
        <f t="shared" si="3"/>
      </c>
      <c r="N52" s="150">
        <f t="shared" si="4"/>
      </c>
      <c r="O52" s="151">
        <f t="shared" si="5"/>
      </c>
    </row>
    <row r="53" spans="1:15" ht="12.75">
      <c r="A53" s="55">
        <v>38</v>
      </c>
      <c r="B53" s="60"/>
      <c r="C53" s="65">
        <f t="shared" si="2"/>
      </c>
      <c r="D53" s="76">
        <f t="shared" si="3"/>
      </c>
      <c r="N53" s="150">
        <f t="shared" si="4"/>
      </c>
      <c r="O53" s="151">
        <f t="shared" si="5"/>
      </c>
    </row>
    <row r="54" spans="1:15" ht="12.75">
      <c r="A54" s="55">
        <v>39</v>
      </c>
      <c r="B54" s="60"/>
      <c r="C54" s="65">
        <f t="shared" si="2"/>
      </c>
      <c r="D54" s="76">
        <f t="shared" si="3"/>
      </c>
      <c r="N54" s="150">
        <f t="shared" si="4"/>
      </c>
      <c r="O54" s="151">
        <f t="shared" si="5"/>
      </c>
    </row>
    <row r="55" spans="1:15" ht="12.75">
      <c r="A55" s="55">
        <v>40</v>
      </c>
      <c r="B55" s="60"/>
      <c r="C55" s="65">
        <f t="shared" si="2"/>
      </c>
      <c r="D55" s="76">
        <f t="shared" si="3"/>
      </c>
      <c r="N55" s="150">
        <f t="shared" si="4"/>
      </c>
      <c r="O55" s="151">
        <f t="shared" si="5"/>
      </c>
    </row>
    <row r="56" spans="1:15" ht="12.75">
      <c r="A56" s="55">
        <v>41</v>
      </c>
      <c r="B56" s="60"/>
      <c r="C56" s="65">
        <f t="shared" si="2"/>
      </c>
      <c r="D56" s="76">
        <f t="shared" si="3"/>
      </c>
      <c r="N56" s="150">
        <f t="shared" si="4"/>
      </c>
      <c r="O56" s="151">
        <f t="shared" si="5"/>
      </c>
    </row>
    <row r="57" spans="1:15" ht="12.75">
      <c r="A57" s="55">
        <v>42</v>
      </c>
      <c r="B57" s="60"/>
      <c r="C57" s="65">
        <f t="shared" si="2"/>
      </c>
      <c r="D57" s="76">
        <f t="shared" si="3"/>
      </c>
      <c r="N57" s="150">
        <f t="shared" si="4"/>
      </c>
      <c r="O57" s="151">
        <f t="shared" si="5"/>
      </c>
    </row>
    <row r="58" spans="1:15" ht="12.75">
      <c r="A58" s="55">
        <v>43</v>
      </c>
      <c r="B58" s="60"/>
      <c r="C58" s="65">
        <f t="shared" si="2"/>
      </c>
      <c r="D58" s="76">
        <f t="shared" si="3"/>
      </c>
      <c r="N58" s="150">
        <f t="shared" si="4"/>
      </c>
      <c r="O58" s="151">
        <f t="shared" si="5"/>
      </c>
    </row>
    <row r="59" spans="1:15" ht="12.75">
      <c r="A59" s="55">
        <v>44</v>
      </c>
      <c r="B59" s="60"/>
      <c r="C59" s="65">
        <f t="shared" si="2"/>
      </c>
      <c r="D59" s="76">
        <f t="shared" si="3"/>
      </c>
      <c r="N59" s="150">
        <f t="shared" si="4"/>
      </c>
      <c r="O59" s="151">
        <f t="shared" si="5"/>
      </c>
    </row>
    <row r="60" spans="1:15" ht="12.75">
      <c r="A60" s="55">
        <v>45</v>
      </c>
      <c r="B60" s="60"/>
      <c r="C60" s="65">
        <f t="shared" si="2"/>
      </c>
      <c r="D60" s="76">
        <f t="shared" si="3"/>
      </c>
      <c r="N60" s="150">
        <f t="shared" si="4"/>
      </c>
      <c r="O60" s="151">
        <f t="shared" si="5"/>
      </c>
    </row>
    <row r="61" spans="1:15" ht="13.5" thickBot="1">
      <c r="A61" s="55">
        <v>46</v>
      </c>
      <c r="B61" s="60"/>
      <c r="C61" s="65">
        <f t="shared" si="2"/>
      </c>
      <c r="D61" s="76">
        <f t="shared" si="3"/>
      </c>
      <c r="N61" s="152">
        <f t="shared" si="4"/>
      </c>
      <c r="O61" s="153">
        <f t="shared" si="5"/>
      </c>
    </row>
    <row r="62" spans="1:10" ht="12.75">
      <c r="A62" s="55">
        <v>47</v>
      </c>
      <c r="B62" s="60"/>
      <c r="C62" s="65">
        <f t="shared" si="2"/>
      </c>
      <c r="D62" s="76">
        <f t="shared" si="3"/>
      </c>
      <c r="I62" s="36"/>
      <c r="J62" s="36"/>
    </row>
    <row r="63" spans="1:10" ht="12.75">
      <c r="A63" s="55">
        <v>48</v>
      </c>
      <c r="B63" s="60"/>
      <c r="C63" s="65">
        <f t="shared" si="2"/>
      </c>
      <c r="D63" s="76">
        <f t="shared" si="3"/>
      </c>
      <c r="I63" s="36"/>
      <c r="J63" s="36"/>
    </row>
    <row r="64" spans="1:4" ht="12.75">
      <c r="A64" s="55">
        <v>49</v>
      </c>
      <c r="B64" s="60"/>
      <c r="C64" s="65">
        <f t="shared" si="2"/>
      </c>
      <c r="D64" s="76">
        <f t="shared" si="3"/>
      </c>
    </row>
    <row r="65" spans="1:4" ht="12.75">
      <c r="A65" s="55">
        <v>50</v>
      </c>
      <c r="B65" s="60"/>
      <c r="C65" s="65">
        <f t="shared" si="2"/>
      </c>
      <c r="D65" s="76">
        <f t="shared" si="3"/>
      </c>
    </row>
    <row r="66" spans="1:4" ht="12.75">
      <c r="A66" s="55">
        <v>51</v>
      </c>
      <c r="B66" s="60"/>
      <c r="C66" s="65">
        <f t="shared" si="2"/>
      </c>
      <c r="D66" s="76">
        <f t="shared" si="3"/>
      </c>
    </row>
    <row r="67" spans="1:4" ht="12.75">
      <c r="A67" s="55">
        <v>52</v>
      </c>
      <c r="B67" s="60"/>
      <c r="C67" s="65">
        <f t="shared" si="2"/>
      </c>
      <c r="D67" s="76">
        <f t="shared" si="3"/>
      </c>
    </row>
    <row r="68" spans="1:4" ht="12.75">
      <c r="A68" s="55">
        <v>53</v>
      </c>
      <c r="B68" s="60"/>
      <c r="C68" s="65">
        <f t="shared" si="2"/>
      </c>
      <c r="D68" s="76">
        <f t="shared" si="3"/>
      </c>
    </row>
    <row r="69" spans="1:4" ht="12.75">
      <c r="A69" s="55">
        <v>54</v>
      </c>
      <c r="B69" s="60"/>
      <c r="C69" s="65">
        <f t="shared" si="2"/>
      </c>
      <c r="D69" s="76">
        <f t="shared" si="3"/>
      </c>
    </row>
    <row r="70" spans="1:4" ht="12.75">
      <c r="A70" s="55">
        <v>55</v>
      </c>
      <c r="B70" s="60"/>
      <c r="C70" s="65">
        <f t="shared" si="2"/>
      </c>
      <c r="D70" s="76">
        <f t="shared" si="3"/>
      </c>
    </row>
    <row r="71" spans="1:4" ht="12.75">
      <c r="A71" s="55">
        <v>56</v>
      </c>
      <c r="B71" s="60"/>
      <c r="C71" s="65">
        <f t="shared" si="2"/>
      </c>
      <c r="D71" s="76">
        <f t="shared" si="3"/>
      </c>
    </row>
    <row r="72" spans="1:4" ht="12.75">
      <c r="A72" s="55">
        <v>57</v>
      </c>
      <c r="B72" s="60"/>
      <c r="C72" s="65">
        <f t="shared" si="2"/>
      </c>
      <c r="D72" s="76">
        <f t="shared" si="3"/>
      </c>
    </row>
    <row r="73" spans="1:4" ht="12.75">
      <c r="A73" s="55">
        <v>58</v>
      </c>
      <c r="B73" s="60"/>
      <c r="C73" s="65">
        <f t="shared" si="2"/>
      </c>
      <c r="D73" s="76">
        <f t="shared" si="3"/>
      </c>
    </row>
    <row r="74" spans="1:4" ht="12.75">
      <c r="A74" s="55">
        <v>59</v>
      </c>
      <c r="B74" s="60"/>
      <c r="C74" s="65">
        <f t="shared" si="2"/>
      </c>
      <c r="D74" s="76">
        <f t="shared" si="3"/>
      </c>
    </row>
    <row r="75" spans="1:4" ht="13.5" thickBot="1">
      <c r="A75" s="49">
        <v>60</v>
      </c>
      <c r="B75" s="70"/>
      <c r="C75" s="64">
        <f t="shared" si="2"/>
      </c>
      <c r="D75" s="77">
        <f t="shared" si="3"/>
      </c>
    </row>
  </sheetData>
  <sheetProtection password="A753" sheet="1" objects="1" scenarios="1"/>
  <printOptions/>
  <pageMargins left="0.75" right="0.75" top="1" bottom="1" header="0.5" footer="0.5"/>
  <pageSetup orientation="landscape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1:J21"/>
  <sheetViews>
    <sheetView workbookViewId="0" topLeftCell="A1">
      <selection activeCell="A1" sqref="A1"/>
    </sheetView>
  </sheetViews>
  <sheetFormatPr defaultColWidth="9.140625" defaultRowHeight="12.75"/>
  <cols>
    <col min="1" max="8" width="12.7109375" style="1" customWidth="1"/>
    <col min="9" max="10" width="9.28125" style="1" customWidth="1"/>
    <col min="11" max="11" width="9.7109375" style="1" customWidth="1"/>
    <col min="12" max="16384" width="9.140625" style="1" customWidth="1"/>
  </cols>
  <sheetData>
    <row r="1" spans="1:5" ht="12.75">
      <c r="A1" s="30" t="s">
        <v>10</v>
      </c>
      <c r="B1" s="4"/>
      <c r="C1" s="4"/>
      <c r="D1" s="4"/>
      <c r="E1" s="31"/>
    </row>
    <row r="2" spans="1:5" ht="12.75">
      <c r="A2" s="4"/>
      <c r="B2" s="4"/>
      <c r="C2" s="4"/>
      <c r="D2" s="4"/>
      <c r="E2" s="4"/>
    </row>
    <row r="3" spans="1:10" ht="13.5" thickBot="1">
      <c r="A3" s="4"/>
      <c r="B3" s="23"/>
      <c r="C3" s="23"/>
      <c r="D3" s="23"/>
      <c r="E3" s="23"/>
      <c r="I3" s="2"/>
      <c r="J3" s="32"/>
    </row>
    <row r="4" spans="1:5" ht="12.75">
      <c r="A4" s="45"/>
      <c r="B4" s="29" t="s">
        <v>28</v>
      </c>
      <c r="C4" s="47" t="s">
        <v>27</v>
      </c>
      <c r="D4" s="29" t="s">
        <v>34</v>
      </c>
      <c r="E4" s="63"/>
    </row>
    <row r="5" spans="1:5" ht="12.75" customHeight="1" thickBot="1">
      <c r="A5" s="49" t="s">
        <v>27</v>
      </c>
      <c r="B5" s="64" t="s">
        <v>29</v>
      </c>
      <c r="C5" s="51" t="s">
        <v>30</v>
      </c>
      <c r="D5" s="20" t="s">
        <v>35</v>
      </c>
      <c r="E5" s="64" t="s">
        <v>44</v>
      </c>
    </row>
    <row r="6" spans="1:5" ht="12.75">
      <c r="A6" s="53" t="s">
        <v>31</v>
      </c>
      <c r="B6" s="59">
        <v>0.1</v>
      </c>
      <c r="C6" s="156">
        <f>IF(ISNUMBER(B6),B6*6,"")</f>
        <v>0.6000000000000001</v>
      </c>
      <c r="D6" s="26">
        <v>0.6</v>
      </c>
      <c r="E6" s="29">
        <f>IF(AND(ISNUMBER(B6),ISNUMBER(D6)),D6/C6,"")</f>
        <v>0.9999999999999998</v>
      </c>
    </row>
    <row r="7" spans="1:5" ht="12.75">
      <c r="A7" s="54" t="s">
        <v>32</v>
      </c>
      <c r="B7" s="60">
        <v>0.08</v>
      </c>
      <c r="C7" s="43">
        <f>IF(ISNUMBER(B7),B7*6,"")</f>
        <v>0.48</v>
      </c>
      <c r="D7" s="60">
        <v>0.6</v>
      </c>
      <c r="E7" s="65">
        <f>IF(AND(ISNUMBER(B7),ISNUMBER(D7)),D7/C7,"")</f>
        <v>1.25</v>
      </c>
    </row>
    <row r="8" spans="1:5" ht="12.75">
      <c r="A8" s="54" t="s">
        <v>33</v>
      </c>
      <c r="B8" s="61">
        <v>0.13</v>
      </c>
      <c r="C8" s="43">
        <f>IF(ISNUMBER(B8),B8*6,"")</f>
        <v>0.78</v>
      </c>
      <c r="D8" s="60">
        <v>0.6</v>
      </c>
      <c r="E8" s="65">
        <f>IF(AND(ISNUMBER(B8),ISNUMBER(D8)),D8/C8,"")</f>
        <v>0.7692307692307692</v>
      </c>
    </row>
    <row r="9" spans="1:5" ht="12.75">
      <c r="A9" s="55" t="s">
        <v>36</v>
      </c>
      <c r="B9" s="61"/>
      <c r="C9" s="43">
        <f>IF(ISNUMBER(B9),B9*6,"")</f>
      </c>
      <c r="D9" s="60"/>
      <c r="E9" s="65">
        <f>IF(AND(ISNUMBER(B9),ISNUMBER(D9)),D9/C9,"")</f>
      </c>
    </row>
    <row r="10" spans="1:5" ht="13.5" thickBot="1">
      <c r="A10" s="17" t="s">
        <v>37</v>
      </c>
      <c r="B10" s="62"/>
      <c r="C10" s="157">
        <f>IF(ISNUMBER(B10),B10*6,"")</f>
      </c>
      <c r="D10" s="70"/>
      <c r="E10" s="64">
        <f>IF(AND(ISNUMBER(B10),ISNUMBER(D10)),D10/C10,"")</f>
      </c>
    </row>
    <row r="11" ht="12.75">
      <c r="B11" s="3"/>
    </row>
    <row r="13" ht="12.75">
      <c r="A13" s="12" t="s">
        <v>84</v>
      </c>
    </row>
    <row r="14" ht="13.5" thickBot="1"/>
    <row r="15" spans="1:8" ht="12.75">
      <c r="A15" s="45"/>
      <c r="B15" s="90" t="s">
        <v>89</v>
      </c>
      <c r="C15" s="47" t="s">
        <v>28</v>
      </c>
      <c r="D15" s="45" t="s">
        <v>85</v>
      </c>
      <c r="E15" s="90"/>
      <c r="F15" s="45" t="s">
        <v>87</v>
      </c>
      <c r="G15" s="90"/>
      <c r="H15" s="154"/>
    </row>
    <row r="16" spans="1:8" ht="15" thickBot="1">
      <c r="A16" s="49" t="s">
        <v>27</v>
      </c>
      <c r="B16" s="92" t="s">
        <v>0</v>
      </c>
      <c r="C16" s="51" t="s">
        <v>29</v>
      </c>
      <c r="D16" s="49" t="s">
        <v>34</v>
      </c>
      <c r="E16" s="92" t="s">
        <v>86</v>
      </c>
      <c r="F16" s="49" t="s">
        <v>34</v>
      </c>
      <c r="G16" s="92" t="s">
        <v>86</v>
      </c>
      <c r="H16" s="155" t="s">
        <v>88</v>
      </c>
    </row>
    <row r="17" spans="1:8" ht="12.75">
      <c r="A17" s="54" t="s">
        <v>31</v>
      </c>
      <c r="B17" s="165">
        <v>9.2</v>
      </c>
      <c r="C17" s="158">
        <v>0.3</v>
      </c>
      <c r="D17" s="166">
        <v>8</v>
      </c>
      <c r="E17" s="163">
        <f>IF(ISNUMBER(C17),(B17-D17)/(3*C17),"")</f>
        <v>1.3333333333333326</v>
      </c>
      <c r="F17" s="13">
        <v>10</v>
      </c>
      <c r="G17" s="163">
        <f>IF(ISNUMBER(C17),(F17-B17)/(3*C17),"")</f>
        <v>0.8888888888888897</v>
      </c>
      <c r="H17" s="90">
        <f>IF(ISNUMBER(C17),MIN(E17,G17),"")</f>
        <v>0.8888888888888897</v>
      </c>
    </row>
    <row r="18" spans="1:8" ht="12.75">
      <c r="A18" s="54" t="s">
        <v>32</v>
      </c>
      <c r="B18" s="14"/>
      <c r="C18" s="159"/>
      <c r="D18" s="14"/>
      <c r="E18" s="163">
        <f>IF(ISNUMBER(C18),(B18-D18)/(3*C18),"")</f>
      </c>
      <c r="F18" s="14"/>
      <c r="G18" s="163">
        <f>IF(ISNUMBER(C18),(F18-B18)/(3*C18),"")</f>
      </c>
      <c r="H18" s="91">
        <f>IF(ISNUMBER(C18),MIN(E18,G18),"")</f>
      </c>
    </row>
    <row r="19" spans="1:8" ht="12.75">
      <c r="A19" s="54" t="s">
        <v>33</v>
      </c>
      <c r="B19" s="14"/>
      <c r="C19" s="158"/>
      <c r="D19" s="14"/>
      <c r="E19" s="163">
        <f>IF(ISNUMBER(C19),(B19-D19)/(3*C19),"")</f>
      </c>
      <c r="F19" s="14"/>
      <c r="G19" s="163">
        <f>IF(ISNUMBER(C19),(F19-B19)/(3*C19),"")</f>
      </c>
      <c r="H19" s="91">
        <f>IF(ISNUMBER(C19),MIN(E19,G19),"")</f>
      </c>
    </row>
    <row r="20" spans="1:8" ht="12.75">
      <c r="A20" s="55" t="s">
        <v>36</v>
      </c>
      <c r="B20" s="14"/>
      <c r="C20" s="158"/>
      <c r="D20" s="14"/>
      <c r="E20" s="163">
        <f>IF(ISNUMBER(C20),(B20-D20)/(3*C20),"")</f>
      </c>
      <c r="F20" s="14"/>
      <c r="G20" s="163">
        <f>IF(ISNUMBER(C20),(F20-B20)/(3*C20),"")</f>
      </c>
      <c r="H20" s="91">
        <f>IF(ISNUMBER(C20),MIN(E20,G20),"")</f>
      </c>
    </row>
    <row r="21" spans="1:8" ht="13.5" thickBot="1">
      <c r="A21" s="17" t="s">
        <v>37</v>
      </c>
      <c r="B21" s="164"/>
      <c r="C21" s="160"/>
      <c r="D21" s="164"/>
      <c r="E21" s="155">
        <f>IF(ISNUMBER(C21),(B21-D21)/(3*C21),"")</f>
      </c>
      <c r="F21" s="164"/>
      <c r="G21" s="155">
        <f>IF(ISNUMBER(C21),(F21-B21)/(3*C21),"")</f>
      </c>
      <c r="H21" s="92">
        <f>IF(ISNUMBER(C21),MIN(E21,G21),"")</f>
      </c>
    </row>
  </sheetData>
  <sheetProtection password="A753" sheet="1" objects="1" scenarios="1"/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2001-03-22T03:01:35Z</cp:lastPrinted>
  <dcterms:created xsi:type="dcterms:W3CDTF">1999-11-18T22:09:40Z</dcterms:created>
  <dcterms:modified xsi:type="dcterms:W3CDTF">2001-04-04T18:26:22Z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