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905" windowHeight="8985" activeTab="0"/>
  </bookViews>
  <sheets>
    <sheet name="Main" sheetId="1" r:id="rId1"/>
    <sheet name="Inject" sheetId="2" state="hidden" r:id="rId2"/>
    <sheet name="Input" sheetId="3" state="hidden" r:id="rId3"/>
  </sheets>
  <definedNames/>
  <calcPr fullCalcOnLoad="1"/>
</workbook>
</file>

<file path=xl/comments2.xml><?xml version="1.0" encoding="utf-8"?>
<comments xmlns="http://schemas.openxmlformats.org/spreadsheetml/2006/main">
  <authors>
    <author>David Ullman</author>
  </authors>
  <commentList>
    <comment ref="B20" authorId="0">
      <text>
        <r>
          <rPr>
            <b/>
            <sz val="8"/>
            <rFont val="Tahoma"/>
            <family val="0"/>
          </rPr>
          <t>David Ullman:</t>
        </r>
        <r>
          <rPr>
            <sz val="8"/>
            <rFont val="Tahoma"/>
            <family val="0"/>
          </rPr>
          <t xml:space="preserve">
assume 45$/hour machine time rate wo labor</t>
        </r>
      </text>
    </comment>
  </commentList>
</comments>
</file>

<file path=xl/sharedStrings.xml><?xml version="1.0" encoding="utf-8"?>
<sst xmlns="http://schemas.openxmlformats.org/spreadsheetml/2006/main" count="124" uniqueCount="116">
  <si>
    <t>Mill</t>
  </si>
  <si>
    <t>Number of parts</t>
  </si>
  <si>
    <t>NT</t>
  </si>
  <si>
    <t>Hourly rate</t>
  </si>
  <si>
    <t>Large</t>
  </si>
  <si>
    <t>Intermediate</t>
  </si>
  <si>
    <t>Fit</t>
  </si>
  <si>
    <t>TOL</t>
  </si>
  <si>
    <t>TF</t>
  </si>
  <si>
    <t>FF</t>
  </si>
  <si>
    <t>What finish?</t>
  </si>
  <si>
    <t>What tolerance?</t>
  </si>
  <si>
    <t>TT</t>
  </si>
  <si>
    <t>$</t>
  </si>
  <si>
    <t>FIN</t>
  </si>
  <si>
    <t>hr</t>
  </si>
  <si>
    <t>Total cost</t>
  </si>
  <si>
    <t>Shape of part</t>
  </si>
  <si>
    <t>Box</t>
  </si>
  <si>
    <t>cylinderical</t>
  </si>
  <si>
    <t>Simple</t>
  </si>
  <si>
    <t>Complex</t>
  </si>
  <si>
    <t>GCOMP</t>
  </si>
  <si>
    <t>SHAPE</t>
  </si>
  <si>
    <t>inches</t>
  </si>
  <si>
    <t>cm</t>
  </si>
  <si>
    <t>Units</t>
  </si>
  <si>
    <t>Part complexity</t>
  </si>
  <si>
    <t>UNITS</t>
  </si>
  <si>
    <t xml:space="preserve">L </t>
  </si>
  <si>
    <t xml:space="preserve">W </t>
  </si>
  <si>
    <t xml:space="preserve">D </t>
  </si>
  <si>
    <t>Wall thickness</t>
  </si>
  <si>
    <t>H</t>
  </si>
  <si>
    <t>Parts to be made</t>
  </si>
  <si>
    <t>Not critical</t>
  </si>
  <si>
    <t>High quality opaque</t>
  </si>
  <si>
    <t>Transparent, optical</t>
  </si>
  <si>
    <t>ABS</t>
  </si>
  <si>
    <t>Polycarbonate</t>
  </si>
  <si>
    <t>Nylon</t>
  </si>
  <si>
    <t>Polypropylene</t>
  </si>
  <si>
    <t>Polystyrene</t>
  </si>
  <si>
    <t>What material?</t>
  </si>
  <si>
    <t>cts/cm3</t>
  </si>
  <si>
    <t>MATLL</t>
  </si>
  <si>
    <t>AP</t>
  </si>
  <si>
    <t>projected area</t>
  </si>
  <si>
    <t>Flat - negiglble depth</t>
  </si>
  <si>
    <t>Surface area</t>
  </si>
  <si>
    <t>SP</t>
  </si>
  <si>
    <t>TR</t>
  </si>
  <si>
    <t>Volume</t>
  </si>
  <si>
    <t>MATCOS</t>
  </si>
  <si>
    <t>cost of material</t>
  </si>
  <si>
    <t>filling time</t>
  </si>
  <si>
    <t>cooling time</t>
  </si>
  <si>
    <t>TC</t>
  </si>
  <si>
    <t>cycle time</t>
  </si>
  <si>
    <t>TMAC</t>
  </si>
  <si>
    <t xml:space="preserve">AT </t>
  </si>
  <si>
    <t>size effect</t>
  </si>
  <si>
    <t xml:space="preserve">TX </t>
  </si>
  <si>
    <t>texture score</t>
  </si>
  <si>
    <t>GC</t>
  </si>
  <si>
    <t>PSP</t>
  </si>
  <si>
    <t>tolerance dependence</t>
  </si>
  <si>
    <t xml:space="preserve">TH </t>
  </si>
  <si>
    <t>finish dependence</t>
  </si>
  <si>
    <t>CL</t>
  </si>
  <si>
    <t>cost per cavity</t>
  </si>
  <si>
    <t>CRL</t>
  </si>
  <si>
    <t>CRN</t>
  </si>
  <si>
    <t>NCC</t>
  </si>
  <si>
    <t xml:space="preserve">NC </t>
  </si>
  <si>
    <t>number of cavities</t>
  </si>
  <si>
    <t>HP</t>
  </si>
  <si>
    <t>Aca</t>
  </si>
  <si>
    <t>CB</t>
  </si>
  <si>
    <t>plate cost</t>
  </si>
  <si>
    <t>CN</t>
  </si>
  <si>
    <t>multicavity cost</t>
  </si>
  <si>
    <t>Mcost</t>
  </si>
  <si>
    <t>moldcost</t>
  </si>
  <si>
    <t>KM</t>
  </si>
  <si>
    <t>mold cost/part</t>
  </si>
  <si>
    <t xml:space="preserve">FK </t>
  </si>
  <si>
    <t>clamping force</t>
  </si>
  <si>
    <t>RC</t>
  </si>
  <si>
    <t>CPP</t>
  </si>
  <si>
    <t>working cost/part</t>
  </si>
  <si>
    <t>GTPP</t>
  </si>
  <si>
    <t>grand total/part</t>
  </si>
  <si>
    <t>Number of mold cavities</t>
  </si>
  <si>
    <t>Total mold cost</t>
  </si>
  <si>
    <t>Cycle time per heat</t>
  </si>
  <si>
    <t>sec</t>
  </si>
  <si>
    <t>working cost per part</t>
  </si>
  <si>
    <t>mold cost per part</t>
  </si>
  <si>
    <t>Cost of material/part</t>
  </si>
  <si>
    <t>Depth into mold</t>
  </si>
  <si>
    <t>Resetting time</t>
  </si>
  <si>
    <t>COST/cm3</t>
  </si>
  <si>
    <t>COST/in3</t>
  </si>
  <si>
    <t>$/in3</t>
  </si>
  <si>
    <t>Design Organization</t>
  </si>
  <si>
    <t>Mechanical Design Process</t>
  </si>
  <si>
    <t>Date</t>
  </si>
  <si>
    <t>Part Evaluated</t>
  </si>
  <si>
    <t>Injection Molded Plastic Part Cost Estimator</t>
  </si>
  <si>
    <t>The Mechanical Design Process</t>
  </si>
  <si>
    <t>Designed by Professor David G. Ullman</t>
  </si>
  <si>
    <t>Copyright 2008, McGraw Hill</t>
  </si>
  <si>
    <t>Form # 15.0</t>
  </si>
  <si>
    <t>Results</t>
  </si>
  <si>
    <t>Part on page 326 4th edition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</si>
</sst>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$&quot;#,##0.00"/>
  </numFmts>
  <fonts count="15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2" fontId="0" fillId="4" borderId="0" xfId="0" applyNumberFormat="1" applyFill="1" applyAlignment="1">
      <alignment/>
    </xf>
    <xf numFmtId="4" fontId="0" fillId="4" borderId="0" xfId="0" applyNumberFormat="1" applyFill="1" applyAlignment="1">
      <alignment/>
    </xf>
    <xf numFmtId="0" fontId="0" fillId="4" borderId="1" xfId="0" applyFill="1" applyBorder="1" applyAlignment="1">
      <alignment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9" fillId="4" borderId="2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9" fillId="4" borderId="2" xfId="0" applyFont="1" applyFill="1" applyBorder="1" applyAlignment="1">
      <alignment horizontal="center"/>
    </xf>
    <xf numFmtId="0" fontId="10" fillId="3" borderId="4" xfId="0" applyFont="1" applyFill="1" applyBorder="1" applyAlignment="1" applyProtection="1">
      <alignment horizontal="center"/>
      <protection locked="0"/>
    </xf>
    <xf numFmtId="0" fontId="0" fillId="4" borderId="5" xfId="0" applyFill="1" applyBorder="1" applyAlignment="1">
      <alignment/>
    </xf>
    <xf numFmtId="0" fontId="9" fillId="4" borderId="6" xfId="0" applyFont="1" applyFill="1" applyBorder="1" applyAlignment="1">
      <alignment/>
    </xf>
    <xf numFmtId="0" fontId="10" fillId="4" borderId="7" xfId="0" applyFont="1" applyFill="1" applyBorder="1" applyAlignment="1">
      <alignment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13" fillId="4" borderId="6" xfId="0" applyFont="1" applyFill="1" applyBorder="1" applyAlignment="1">
      <alignment/>
    </xf>
    <xf numFmtId="0" fontId="0" fillId="4" borderId="6" xfId="0" applyFill="1" applyBorder="1" applyAlignment="1">
      <alignment/>
    </xf>
    <xf numFmtId="49" fontId="0" fillId="4" borderId="6" xfId="0" applyNumberForma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3" borderId="0" xfId="0" applyFill="1" applyAlignment="1" applyProtection="1">
      <alignment/>
      <protection locked="0"/>
    </xf>
    <xf numFmtId="3" fontId="0" fillId="3" borderId="0" xfId="0" applyNumberFormat="1" applyFill="1" applyAlignment="1" applyProtection="1">
      <alignment/>
      <protection locked="0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1" fillId="3" borderId="10" xfId="0" applyFont="1" applyFill="1" applyBorder="1" applyAlignment="1" applyProtection="1">
      <alignment horizontal="center"/>
      <protection locked="0"/>
    </xf>
    <xf numFmtId="0" fontId="11" fillId="3" borderId="11" xfId="0" applyFont="1" applyFill="1" applyBorder="1" applyAlignment="1" applyProtection="1">
      <alignment horizontal="center"/>
      <protection locked="0"/>
    </xf>
    <xf numFmtId="0" fontId="11" fillId="3" borderId="12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 per part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Inject!$D$6:$N$6</c:f>
              <c:numCache>
                <c:ptCount val="11"/>
                <c:pt idx="0">
                  <c:v>100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5000</c:v>
                </c:pt>
                <c:pt idx="5">
                  <c:v>10000</c:v>
                </c:pt>
                <c:pt idx="6">
                  <c:v>50000</c:v>
                </c:pt>
                <c:pt idx="7">
                  <c:v>100000</c:v>
                </c:pt>
                <c:pt idx="8">
                  <c:v>500000</c:v>
                </c:pt>
                <c:pt idx="9">
                  <c:v>1000000</c:v>
                </c:pt>
                <c:pt idx="10">
                  <c:v>10000000</c:v>
                </c:pt>
              </c:numCache>
            </c:numRef>
          </c:xVal>
          <c:yVal>
            <c:numRef>
              <c:f>Inject!$D$33:$N$33</c:f>
              <c:numCache>
                <c:ptCount val="11"/>
                <c:pt idx="0">
                  <c:v>376.8032661446027</c:v>
                </c:pt>
                <c:pt idx="1">
                  <c:v>150.893013152514</c:v>
                </c:pt>
                <c:pt idx="2">
                  <c:v>75.5895954884844</c:v>
                </c:pt>
                <c:pt idx="3">
                  <c:v>37.93788665646961</c:v>
                </c:pt>
                <c:pt idx="4">
                  <c:v>7.816519590857778</c:v>
                </c:pt>
                <c:pt idx="5">
                  <c:v>4.051348707656299</c:v>
                </c:pt>
                <c:pt idx="6">
                  <c:v>1.039212001095116</c:v>
                </c:pt>
                <c:pt idx="7">
                  <c:v>0.6626949127749682</c:v>
                </c:pt>
                <c:pt idx="8">
                  <c:v>0.34057828463431905</c:v>
                </c:pt>
                <c:pt idx="9">
                  <c:v>0.2748642002018253</c:v>
                </c:pt>
                <c:pt idx="10">
                  <c:v>0.17509514941413273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pPr>
                <a:solidFill>
                  <a:srgbClr val="FF00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Inject!$O$6</c:f>
              <c:numCache>
                <c:ptCount val="1"/>
                <c:pt idx="0">
                  <c:v>1000000</c:v>
                </c:pt>
              </c:numCache>
            </c:numRef>
          </c:xVal>
          <c:yVal>
            <c:numRef>
              <c:f>Inject!$O$33</c:f>
              <c:numCache>
                <c:ptCount val="1"/>
                <c:pt idx="0">
                  <c:v>0.2748642002018253</c:v>
                </c:pt>
              </c:numCache>
            </c:numRef>
          </c:yVal>
          <c:smooth val="1"/>
        </c:ser>
        <c:axId val="21589569"/>
        <c:axId val="60088394"/>
      </c:scatterChart>
      <c:valAx>
        <c:axId val="21589569"/>
        <c:scaling>
          <c:logBase val="10"/>
          <c:orientation val="minMax"/>
          <c:max val="1000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Parts per batch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crossAx val="60088394"/>
        <c:crossesAt val="0.1"/>
        <c:crossBetween val="midCat"/>
        <c:dispUnits/>
        <c:majorUnit val="10"/>
        <c:minorUnit val="10"/>
      </c:valAx>
      <c:valAx>
        <c:axId val="6008839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US$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895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23</xdr:row>
      <xdr:rowOff>38100</xdr:rowOff>
    </xdr:from>
    <xdr:to>
      <xdr:col>9</xdr:col>
      <xdr:colOff>542925</xdr:colOff>
      <xdr:row>44</xdr:row>
      <xdr:rowOff>152400</xdr:rowOff>
    </xdr:to>
    <xdr:graphicFrame>
      <xdr:nvGraphicFramePr>
        <xdr:cNvPr id="1" name="Chart 15"/>
        <xdr:cNvGraphicFramePr/>
      </xdr:nvGraphicFramePr>
      <xdr:xfrm>
        <a:off x="371475" y="4095750"/>
        <a:ext cx="51911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0"/>
  <sheetViews>
    <sheetView tabSelected="1" workbookViewId="0" topLeftCell="A1">
      <selection activeCell="N14" sqref="N14"/>
    </sheetView>
  </sheetViews>
  <sheetFormatPr defaultColWidth="9.140625" defaultRowHeight="12.75"/>
  <cols>
    <col min="1" max="1" width="4.00390625" style="0" customWidth="1"/>
    <col min="2" max="2" width="14.28125" style="0" customWidth="1"/>
    <col min="3" max="3" width="4.421875" style="0" customWidth="1"/>
    <col min="5" max="5" width="4.7109375" style="0" customWidth="1"/>
    <col min="6" max="6" width="21.421875" style="0" customWidth="1"/>
    <col min="7" max="7" width="6.421875" style="0" customWidth="1"/>
    <col min="8" max="8" width="5.140625" style="0" customWidth="1"/>
    <col min="9" max="9" width="5.7109375" style="0" customWidth="1"/>
    <col min="10" max="10" width="10.421875" style="0" customWidth="1"/>
    <col min="11" max="11" width="3.28125" style="7" customWidth="1"/>
  </cols>
  <sheetData>
    <row r="1" spans="1:11" ht="21" thickBot="1">
      <c r="A1" s="11"/>
      <c r="B1" s="34" t="s">
        <v>109</v>
      </c>
      <c r="C1" s="34"/>
      <c r="D1" s="34"/>
      <c r="E1" s="34"/>
      <c r="F1" s="34"/>
      <c r="G1" s="34"/>
      <c r="H1" s="34"/>
      <c r="I1" s="34"/>
      <c r="J1" s="34"/>
      <c r="K1" s="35"/>
    </row>
    <row r="2" spans="1:11" ht="21" thickBot="1">
      <c r="A2" s="11"/>
      <c r="B2" s="14" t="s">
        <v>105</v>
      </c>
      <c r="C2" s="15"/>
      <c r="D2" s="36" t="s">
        <v>106</v>
      </c>
      <c r="E2" s="37"/>
      <c r="F2" s="38"/>
      <c r="G2" s="12"/>
      <c r="H2" s="12"/>
      <c r="I2" s="16" t="s">
        <v>107</v>
      </c>
      <c r="J2" s="17"/>
      <c r="K2" s="13"/>
    </row>
    <row r="3" spans="1:11" ht="21" thickBot="1">
      <c r="A3" s="18"/>
      <c r="B3" s="19" t="s">
        <v>108</v>
      </c>
      <c r="C3" s="20"/>
      <c r="D3" s="36" t="s">
        <v>115</v>
      </c>
      <c r="E3" s="37"/>
      <c r="F3" s="38"/>
      <c r="G3" s="21"/>
      <c r="H3" s="21"/>
      <c r="I3" s="21"/>
      <c r="J3" s="21"/>
      <c r="K3" s="22"/>
    </row>
    <row r="4" spans="1:10" ht="12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7"/>
      <c r="B5" s="7" t="s">
        <v>17</v>
      </c>
      <c r="C5" s="7"/>
      <c r="D5" s="7"/>
      <c r="E5" s="7" t="s">
        <v>27</v>
      </c>
      <c r="F5" s="7"/>
      <c r="G5" s="7"/>
      <c r="H5" s="7" t="s">
        <v>10</v>
      </c>
      <c r="I5" s="7"/>
      <c r="J5" s="7"/>
    </row>
    <row r="6" spans="1:10" ht="12.7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2.7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7"/>
      <c r="B9" s="7" t="s">
        <v>26</v>
      </c>
      <c r="C9" s="7"/>
      <c r="D9" s="7"/>
      <c r="E9" s="7" t="s">
        <v>11</v>
      </c>
      <c r="F9" s="7"/>
      <c r="G9" s="7"/>
      <c r="H9" s="7" t="s">
        <v>43</v>
      </c>
      <c r="I9" s="7"/>
      <c r="J9" s="7"/>
    </row>
    <row r="10" spans="1:10" ht="12.75">
      <c r="A10" s="7"/>
      <c r="C10" s="7"/>
      <c r="D10" s="7"/>
      <c r="E10" s="7"/>
      <c r="F10" s="7"/>
      <c r="G10" s="7"/>
      <c r="H10" s="7"/>
      <c r="I10" s="7"/>
      <c r="J10" s="7"/>
    </row>
    <row r="11" spans="1:10" ht="12.7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 t="str">
        <f>IF(Input!A$5=3,"Diamerter","Length")</f>
        <v>Length</v>
      </c>
      <c r="C13" s="7"/>
      <c r="D13" s="32">
        <v>3.7</v>
      </c>
      <c r="E13" s="7"/>
      <c r="F13" s="7"/>
      <c r="G13" s="7"/>
      <c r="H13" s="7"/>
      <c r="I13" s="7"/>
      <c r="J13" s="7"/>
    </row>
    <row r="14" spans="1:11" ht="13.5" thickBot="1">
      <c r="A14" s="7"/>
      <c r="B14" s="7" t="str">
        <f>IF(Input!A$5=3,"","Width")</f>
        <v>Width</v>
      </c>
      <c r="C14" s="7"/>
      <c r="D14" s="32">
        <v>1.77</v>
      </c>
      <c r="E14" s="7"/>
      <c r="F14" s="27"/>
      <c r="G14" s="27"/>
      <c r="H14" s="27"/>
      <c r="I14" s="27"/>
      <c r="J14" s="27"/>
      <c r="K14" s="27"/>
    </row>
    <row r="15" spans="1:10" ht="12.75">
      <c r="A15" s="7"/>
      <c r="B15" s="7" t="s">
        <v>100</v>
      </c>
      <c r="C15" s="7"/>
      <c r="D15" s="32">
        <v>1.6</v>
      </c>
      <c r="E15" s="7"/>
      <c r="F15" s="30" t="s">
        <v>93</v>
      </c>
      <c r="G15" s="8">
        <f>ROUNDDOWN(Inject!O23,0)</f>
        <v>3</v>
      </c>
      <c r="H15" s="7"/>
      <c r="I15" s="7"/>
      <c r="J15" s="7"/>
    </row>
    <row r="16" spans="1:10" ht="12.75">
      <c r="A16" s="7"/>
      <c r="B16" s="7" t="s">
        <v>32</v>
      </c>
      <c r="C16" s="7"/>
      <c r="D16" s="32">
        <v>0.1</v>
      </c>
      <c r="E16" s="7"/>
      <c r="F16" s="31" t="s">
        <v>94</v>
      </c>
      <c r="G16" s="7">
        <f>Inject!O28</f>
        <v>89251.79196043048</v>
      </c>
      <c r="H16" s="7" t="s">
        <v>13</v>
      </c>
      <c r="I16" s="7"/>
      <c r="J16" s="7"/>
    </row>
    <row r="17" spans="1:10" ht="12.75">
      <c r="A17" s="7"/>
      <c r="B17" s="7" t="s">
        <v>34</v>
      </c>
      <c r="C17" s="7"/>
      <c r="D17" s="33">
        <v>1000000</v>
      </c>
      <c r="E17" s="7"/>
      <c r="F17" s="31" t="s">
        <v>95</v>
      </c>
      <c r="G17" s="9">
        <f>Inject!O14/G15</f>
        <v>2.4060939428196817</v>
      </c>
      <c r="H17" s="7" t="s">
        <v>96</v>
      </c>
      <c r="I17" s="7"/>
      <c r="J17" s="7"/>
    </row>
    <row r="18" spans="1:10" ht="12.75">
      <c r="A18" s="7"/>
      <c r="B18" s="7" t="s">
        <v>3</v>
      </c>
      <c r="C18" s="7"/>
      <c r="D18" s="32">
        <v>35</v>
      </c>
      <c r="E18" s="7" t="s">
        <v>13</v>
      </c>
      <c r="F18" s="31" t="s">
        <v>97</v>
      </c>
      <c r="G18" s="9">
        <f>Inject!O32</f>
        <v>0.048612408241394796</v>
      </c>
      <c r="H18" s="7" t="s">
        <v>15</v>
      </c>
      <c r="I18" s="7"/>
      <c r="J18" s="7"/>
    </row>
    <row r="19" spans="1:10" ht="13.5" thickBot="1">
      <c r="A19" s="27"/>
      <c r="B19" s="27"/>
      <c r="C19" s="27"/>
      <c r="D19" s="27"/>
      <c r="E19" s="27"/>
      <c r="F19" s="31" t="s">
        <v>98</v>
      </c>
      <c r="G19" s="10">
        <f>Inject!O29</f>
        <v>0.08925179196043048</v>
      </c>
      <c r="H19" s="7" t="s">
        <v>13</v>
      </c>
      <c r="I19" s="7"/>
      <c r="J19" s="7"/>
    </row>
    <row r="20" spans="1:10" ht="12.75">
      <c r="A20" s="7"/>
      <c r="B20" s="7"/>
      <c r="C20" s="7"/>
      <c r="D20" s="7"/>
      <c r="E20" s="7"/>
      <c r="F20" s="7" t="s">
        <v>99</v>
      </c>
      <c r="G20" s="10">
        <f>Inject!O11</f>
        <v>0.064771650216</v>
      </c>
      <c r="H20" s="7" t="s">
        <v>13</v>
      </c>
      <c r="I20" s="7"/>
      <c r="J20" s="7"/>
    </row>
    <row r="21" spans="1:10" ht="12.75">
      <c r="A21" s="7"/>
      <c r="B21" s="7" t="s">
        <v>114</v>
      </c>
      <c r="C21" s="7"/>
      <c r="D21" s="7"/>
      <c r="E21" s="7"/>
      <c r="F21" s="7" t="s">
        <v>97</v>
      </c>
      <c r="G21" s="10">
        <f>Inject!O32</f>
        <v>0.048612408241394796</v>
      </c>
      <c r="H21" s="7" t="s">
        <v>13</v>
      </c>
      <c r="I21" s="7"/>
      <c r="J21" s="7"/>
    </row>
    <row r="22" spans="1:10" ht="12.75">
      <c r="A22" s="7"/>
      <c r="B22" s="7"/>
      <c r="C22" s="7"/>
      <c r="D22" s="7"/>
      <c r="E22" s="7"/>
      <c r="F22" s="7" t="s">
        <v>16</v>
      </c>
      <c r="G22" s="10">
        <f>Inject!O33</f>
        <v>0.2748642002018253</v>
      </c>
      <c r="H22" s="7" t="s">
        <v>13</v>
      </c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.7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2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3.5" thickBot="1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1" ht="12.75">
      <c r="A49" s="11"/>
      <c r="B49" s="23" t="s">
        <v>110</v>
      </c>
      <c r="C49" s="24"/>
      <c r="D49" s="24"/>
      <c r="E49" s="24"/>
      <c r="F49" s="24"/>
      <c r="G49" s="24" t="s">
        <v>111</v>
      </c>
      <c r="H49" s="24"/>
      <c r="I49" s="24"/>
      <c r="J49" s="24"/>
      <c r="K49" s="25"/>
    </row>
    <row r="50" spans="1:11" ht="13.5" thickBot="1">
      <c r="A50" s="18"/>
      <c r="B50" s="26" t="s">
        <v>112</v>
      </c>
      <c r="C50" s="27"/>
      <c r="D50" s="27"/>
      <c r="E50" s="27"/>
      <c r="F50" s="27"/>
      <c r="G50" s="28" t="s">
        <v>113</v>
      </c>
      <c r="H50" s="27"/>
      <c r="I50" s="27"/>
      <c r="J50" s="27"/>
      <c r="K50" s="29"/>
    </row>
  </sheetData>
  <sheetProtection sheet="1" objects="1" scenarios="1"/>
  <mergeCells count="3">
    <mergeCell ref="B1:K1"/>
    <mergeCell ref="D2:F2"/>
    <mergeCell ref="D3:F3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D23" sqref="D23"/>
    </sheetView>
  </sheetViews>
  <sheetFormatPr defaultColWidth="9.140625" defaultRowHeight="12.75"/>
  <cols>
    <col min="2" max="2" width="14.140625" style="0" customWidth="1"/>
    <col min="11" max="11" width="9.140625" style="1" customWidth="1"/>
    <col min="15" max="15" width="9.140625" style="1" customWidth="1"/>
  </cols>
  <sheetData>
    <row r="1" ht="12.75">
      <c r="A1" t="s">
        <v>0</v>
      </c>
    </row>
    <row r="2" spans="1:15" ht="12.75">
      <c r="A2" s="1" t="s">
        <v>29</v>
      </c>
      <c r="D2">
        <f>IF(Input!$A$13=1,Main!$D13,Main!$D13/2.54)</f>
        <v>3.7</v>
      </c>
      <c r="E2">
        <f>IF(Input!$A$13=1,Main!$D13,Main!$D13/2.54)</f>
        <v>3.7</v>
      </c>
      <c r="F2">
        <f>IF(Input!$A$13=1,Main!$D13,Main!$D13/2.54)</f>
        <v>3.7</v>
      </c>
      <c r="G2">
        <f>IF(Input!$A$13=1,Main!$D13,Main!$D13/2.54)</f>
        <v>3.7</v>
      </c>
      <c r="H2">
        <f>IF(Input!$A$13=1,Main!$D13,Main!$D13/2.54)</f>
        <v>3.7</v>
      </c>
      <c r="I2">
        <f>IF(Input!$A$13=1,Main!$D13,Main!$D13/2.54)</f>
        <v>3.7</v>
      </c>
      <c r="J2">
        <f>IF(Input!$A$13=1,Main!$D13,Main!$D13/2.54)</f>
        <v>3.7</v>
      </c>
      <c r="K2">
        <f>IF(Input!$A$13=1,Main!$D13,Main!$D13/2.54)</f>
        <v>3.7</v>
      </c>
      <c r="L2">
        <f>IF(Input!$A$13=1,Main!$D13,Main!$D13/2.54)</f>
        <v>3.7</v>
      </c>
      <c r="M2">
        <f>IF(Input!$A$13=1,Main!$D13,Main!$D13/2.54)</f>
        <v>3.7</v>
      </c>
      <c r="N2">
        <f>IF(Input!$A$13=1,Main!$D13,Main!$D13/2.54)</f>
        <v>3.7</v>
      </c>
      <c r="O2">
        <f>IF(Input!$A$13=1,Main!$D13,Main!$D13/2.54)</f>
        <v>3.7</v>
      </c>
    </row>
    <row r="3" spans="1:15" ht="12.75">
      <c r="A3" s="1" t="s">
        <v>30</v>
      </c>
      <c r="D3">
        <f>IF(Input!$A$13=1,Main!$D14,Main!$D14/2.54)</f>
        <v>1.77</v>
      </c>
      <c r="E3">
        <f>IF(Input!$A$13=1,Main!$D14,Main!$D14/2.54)</f>
        <v>1.77</v>
      </c>
      <c r="F3">
        <f>IF(Input!$A$13=1,Main!$D14,Main!$D14/2.54)</f>
        <v>1.77</v>
      </c>
      <c r="G3">
        <f>IF(Input!$A$13=1,Main!$D14,Main!$D14/2.54)</f>
        <v>1.77</v>
      </c>
      <c r="H3">
        <f>IF(Input!$A$13=1,Main!$D14,Main!$D14/2.54)</f>
        <v>1.77</v>
      </c>
      <c r="I3">
        <f>IF(Input!$A$13=1,Main!$D14,Main!$D14/2.54)</f>
        <v>1.77</v>
      </c>
      <c r="J3">
        <f>IF(Input!$A$13=1,Main!$D14,Main!$D14/2.54)</f>
        <v>1.77</v>
      </c>
      <c r="K3">
        <f>IF(Input!$A$13=1,Main!$D14,Main!$D14/2.54)</f>
        <v>1.77</v>
      </c>
      <c r="L3">
        <f>IF(Input!$A$13=1,Main!$D14,Main!$D14/2.54)</f>
        <v>1.77</v>
      </c>
      <c r="M3">
        <f>IF(Input!$A$13=1,Main!$D14,Main!$D14/2.54)</f>
        <v>1.77</v>
      </c>
      <c r="N3">
        <f>IF(Input!$A$13=1,Main!$D14,Main!$D14/2.54)</f>
        <v>1.77</v>
      </c>
      <c r="O3">
        <f>IF(Input!$A$13=1,Main!$D14,Main!$D14/2.54)</f>
        <v>1.77</v>
      </c>
    </row>
    <row r="4" spans="1:15" ht="12.75">
      <c r="A4" s="1" t="s">
        <v>31</v>
      </c>
      <c r="D4">
        <f>IF(Input!$A$13=1,Main!$D15,Main!$D15/2.54)</f>
        <v>1.6</v>
      </c>
      <c r="E4">
        <f>IF(Input!$A$13=1,Main!$D15,Main!$D15/2.54)</f>
        <v>1.6</v>
      </c>
      <c r="F4">
        <f>IF(Input!$A$13=1,Main!$D15,Main!$D15/2.54)</f>
        <v>1.6</v>
      </c>
      <c r="G4">
        <f>IF(Input!$A$13=1,Main!$D15,Main!$D15/2.54)</f>
        <v>1.6</v>
      </c>
      <c r="H4">
        <f>IF(Input!$A$13=1,Main!$D15,Main!$D15/2.54)</f>
        <v>1.6</v>
      </c>
      <c r="I4">
        <f>IF(Input!$A$13=1,Main!$D15,Main!$D15/2.54)</f>
        <v>1.6</v>
      </c>
      <c r="J4">
        <f>IF(Input!$A$13=1,Main!$D15,Main!$D15/2.54)</f>
        <v>1.6</v>
      </c>
      <c r="K4">
        <f>IF(Input!$A$13=1,Main!$D15,Main!$D15/2.54)</f>
        <v>1.6</v>
      </c>
      <c r="L4">
        <f>IF(Input!$A$13=1,Main!$D15,Main!$D15/2.54)</f>
        <v>1.6</v>
      </c>
      <c r="M4">
        <f>IF(Input!$A$13=1,Main!$D15,Main!$D15/2.54)</f>
        <v>1.6</v>
      </c>
      <c r="N4">
        <f>IF(Input!$A$13=1,Main!$D15,Main!$D15/2.54)</f>
        <v>1.6</v>
      </c>
      <c r="O4">
        <f>IF(Input!$A$13=1,Main!$D15,Main!$D15/2.54)</f>
        <v>1.6</v>
      </c>
    </row>
    <row r="5" spans="1:15" ht="12.75">
      <c r="A5" s="1" t="s">
        <v>33</v>
      </c>
      <c r="D5">
        <f>IF(Input!$A$13=1,Main!$D16,Main!$D16/2.54)</f>
        <v>0.1</v>
      </c>
      <c r="E5">
        <f>IF(Input!$A$13=1,Main!$D16,Main!$D16/2.54)</f>
        <v>0.1</v>
      </c>
      <c r="F5">
        <f>IF(Input!$A$13=1,Main!$D16,Main!$D16/2.54)</f>
        <v>0.1</v>
      </c>
      <c r="G5">
        <f>IF(Input!$A$13=1,Main!$D16,Main!$D16/2.54)</f>
        <v>0.1</v>
      </c>
      <c r="H5">
        <f>IF(Input!$A$13=1,Main!$D16,Main!$D16/2.54)</f>
        <v>0.1</v>
      </c>
      <c r="I5">
        <f>IF(Input!$A$13=1,Main!$D16,Main!$D16/2.54)</f>
        <v>0.1</v>
      </c>
      <c r="J5">
        <f>IF(Input!$A$13=1,Main!$D16,Main!$D16/2.54)</f>
        <v>0.1</v>
      </c>
      <c r="K5">
        <f>IF(Input!$A$13=1,Main!$D16,Main!$D16/2.54)</f>
        <v>0.1</v>
      </c>
      <c r="L5">
        <f>IF(Input!$A$13=1,Main!$D16,Main!$D16/2.54)</f>
        <v>0.1</v>
      </c>
      <c r="M5">
        <f>IF(Input!$A$13=1,Main!$D16,Main!$D16/2.54)</f>
        <v>0.1</v>
      </c>
      <c r="N5">
        <f>IF(Input!$A$13=1,Main!$D16,Main!$D16/2.54)</f>
        <v>0.1</v>
      </c>
      <c r="O5">
        <f>IF(Input!$A$13=1,Main!$D16,Main!$D16/2.54)</f>
        <v>0.1</v>
      </c>
    </row>
    <row r="6" spans="1:15" ht="12.75">
      <c r="A6" s="1" t="s">
        <v>2</v>
      </c>
      <c r="B6" t="s">
        <v>1</v>
      </c>
      <c r="D6">
        <v>100</v>
      </c>
      <c r="E6">
        <v>250</v>
      </c>
      <c r="F6">
        <v>500</v>
      </c>
      <c r="G6">
        <v>1000</v>
      </c>
      <c r="H6">
        <v>5000</v>
      </c>
      <c r="I6">
        <v>10000</v>
      </c>
      <c r="J6">
        <v>50000</v>
      </c>
      <c r="K6" s="1">
        <v>100000</v>
      </c>
      <c r="L6">
        <v>500000</v>
      </c>
      <c r="M6" s="5">
        <v>1000000</v>
      </c>
      <c r="N6" s="5">
        <v>10000000</v>
      </c>
      <c r="O6" s="1">
        <f>Main!D17</f>
        <v>1000000</v>
      </c>
    </row>
    <row r="7" spans="1:15" ht="12.75">
      <c r="A7" s="3" t="s">
        <v>46</v>
      </c>
      <c r="B7" t="s">
        <v>47</v>
      </c>
      <c r="D7">
        <f>IF(Input!$A5=1,D2*D3,IF(Input!$A5=2,D2*D3,0.785*D2^2))</f>
        <v>6.549</v>
      </c>
      <c r="E7">
        <f>IF(Input!$A5=1,E2*E3,IF(Input!$A5=2,E2*E3,0.785*E2^2))</f>
        <v>6.549</v>
      </c>
      <c r="F7">
        <f>IF(Input!$A5=1,F2*F3,IF(Input!$A5=2,F2*F3,0.785*F2^2))</f>
        <v>6.549</v>
      </c>
      <c r="G7">
        <f>IF(Input!$A5=1,G2*G3,IF(Input!$A5=2,G2*G3,0.785*G2^2))</f>
        <v>6.549</v>
      </c>
      <c r="H7">
        <f>IF(Input!$A5=1,H2*H3,IF(Input!$A5=2,H2*H3,0.785*H2^2))</f>
        <v>6.549</v>
      </c>
      <c r="I7">
        <f>IF(Input!$A5=1,I2*I3,IF(Input!$A5=2,I2*I3,0.785*I2^2))</f>
        <v>6.549</v>
      </c>
      <c r="J7">
        <f>IF(Input!$A5=1,J2*J3,IF(Input!$A5=2,J2*J3,0.785*J2^2))</f>
        <v>6.549</v>
      </c>
      <c r="K7">
        <f>IF(Input!$A5=1,K2*K3,IF(Input!$A5=2,K2*K3,0.785*K2^2))</f>
        <v>6.549</v>
      </c>
      <c r="L7">
        <f>IF(Input!$A5=1,L2*L3,IF(Input!$A5=2,L2*L3,0.785*L2^2))</f>
        <v>6.549</v>
      </c>
      <c r="M7">
        <f>IF(Input!$A5=1,M2*M3,IF(Input!$A5=2,M2*M3,0.785*M2^2))</f>
        <v>6.549</v>
      </c>
      <c r="N7">
        <f>IF(Input!$A5=1,N2*N3,IF(Input!$A5=2,N2*N3,0.785*N2^2))</f>
        <v>6.549</v>
      </c>
      <c r="O7">
        <f>IF(Input!$A5=1,O2*O3,IF(Input!$A5=2,O2*O3,0.785*O2^2))</f>
        <v>6.549</v>
      </c>
    </row>
    <row r="8" spans="1:15" ht="12.75">
      <c r="A8" s="3" t="s">
        <v>50</v>
      </c>
      <c r="B8" s="3" t="s">
        <v>49</v>
      </c>
      <c r="D8">
        <f>IF(Input!$A5=1,2*D2*D3,IF(Input!$A5=2,D2*D3+D2*D4+D3*D4,3.14*D2*D4+3.14*D2^2/4))</f>
        <v>15.301000000000002</v>
      </c>
      <c r="E8">
        <f>IF(Input!$A5=1,2*E2*E3,IF(Input!$A5=2,E2*E3+E2*E4+E3*E4,3.14*E2*E4+3.14*E2^2/4))</f>
        <v>15.301000000000002</v>
      </c>
      <c r="F8">
        <f>IF(Input!$A5=1,2*F2*F3,IF(Input!$A5=2,F2*F3+F2*F4+F3*F4,3.14*F2*F4+3.14*F2^2/4))</f>
        <v>15.301000000000002</v>
      </c>
      <c r="G8">
        <f>IF(Input!$A5=1,2*G2*G3,IF(Input!$A5=2,G2*G3+G2*G4+G3*G4,3.14*G2*G4+3.14*G2^2/4))</f>
        <v>15.301000000000002</v>
      </c>
      <c r="H8">
        <f>IF(Input!$A5=1,2*H2*H3,IF(Input!$A5=2,H2*H3+H2*H4+H3*H4,3.14*H2*H4+3.14*H2^2/4))</f>
        <v>15.301000000000002</v>
      </c>
      <c r="I8">
        <f>IF(Input!$A5=1,2*I2*I3,IF(Input!$A5=2,I2*I3+I2*I4+I3*I4,3.14*I2*I4+3.14*I2^2/4))</f>
        <v>15.301000000000002</v>
      </c>
      <c r="J8">
        <f>IF(Input!$A5=1,2*J2*J3,IF(Input!$A5=2,J2*J3+J2*J4+J3*J4,3.14*J2*J4+3.14*J2^2/4))</f>
        <v>15.301000000000002</v>
      </c>
      <c r="K8">
        <f>IF(Input!$A5=1,2*K2*K3,IF(Input!$A5=2,K2*K3+K2*K4+K3*K4,3.14*K2*K4+3.14*K2^2/4))</f>
        <v>15.301000000000002</v>
      </c>
      <c r="L8">
        <f>IF(Input!$A5=1,2*L2*L3,IF(Input!$A5=2,L2*L3+L2*L4+L3*L4,3.14*L2*L4+3.14*L2^2/4))</f>
        <v>15.301000000000002</v>
      </c>
      <c r="M8">
        <f>IF(Input!$A5=1,2*M2*M3,IF(Input!$A5=2,M2*M3+M2*M4+M3*M4,3.14*M2*M4+3.14*M2^2/4))</f>
        <v>15.301000000000002</v>
      </c>
      <c r="N8">
        <f>IF(Input!$A5=1,2*N2*N3,IF(Input!$A5=2,N2*N3+N2*N4+N3*N4,3.14*N2*N4+3.14*N2^2/4))</f>
        <v>15.301000000000002</v>
      </c>
      <c r="O8">
        <f>IF(Input!$A5=1,2*O2*O3,IF(Input!$A5=2,O2*O3+O2*O4+O3*O4,3.14*O2*O4+3.14*O2^2/4))</f>
        <v>15.301000000000002</v>
      </c>
    </row>
    <row r="9" spans="1:15" ht="12.75">
      <c r="A9" s="3" t="s">
        <v>51</v>
      </c>
      <c r="B9" s="3" t="s">
        <v>101</v>
      </c>
      <c r="D9">
        <f>IF(Input!$A5=1,3,IF(Input!$A5=2,5,7))</f>
        <v>5</v>
      </c>
      <c r="E9">
        <f>IF(Input!$A5=1,3,IF(Input!$A5=2,5,7))</f>
        <v>5</v>
      </c>
      <c r="F9">
        <f>IF(Input!$A5=1,3,IF(Input!$A5=2,5,7))</f>
        <v>5</v>
      </c>
      <c r="G9">
        <f>IF(Input!$A5=1,3,IF(Input!$A5=2,5,7))</f>
        <v>5</v>
      </c>
      <c r="H9">
        <f>IF(Input!$A5=1,3,IF(Input!$A5=2,5,7))</f>
        <v>5</v>
      </c>
      <c r="I9">
        <f>IF(Input!$A5=1,3,IF(Input!$A5=2,5,7))</f>
        <v>5</v>
      </c>
      <c r="J9">
        <f>IF(Input!$A5=1,3,IF(Input!$A5=2,5,7))</f>
        <v>5</v>
      </c>
      <c r="K9">
        <f>IF(Input!$A5=1,3,IF(Input!$A5=2,5,7))</f>
        <v>5</v>
      </c>
      <c r="L9">
        <f>IF(Input!$A5=1,3,IF(Input!$A5=2,5,7))</f>
        <v>5</v>
      </c>
      <c r="M9">
        <f>IF(Input!$A5=1,3,IF(Input!$A5=2,5,7))</f>
        <v>5</v>
      </c>
      <c r="N9">
        <f>IF(Input!$A5=1,3,IF(Input!$A5=2,5,7))</f>
        <v>5</v>
      </c>
      <c r="O9">
        <f>IF(Input!$A5=1,3,IF(Input!$A5=2,5,7))</f>
        <v>5</v>
      </c>
    </row>
    <row r="10" spans="1:15" ht="12.75">
      <c r="A10" s="3" t="s">
        <v>52</v>
      </c>
      <c r="D10">
        <f>IF(Input!$A5=1,(1.15*D2*D3*D5),IF(Input!$A5=2,(1.2*(D2*D3+2*D4*(D2+D3))*D5),(1.2*(3.1415*D3^2/4+3.1415*D3*D4)*D5)))</f>
        <v>2.88636</v>
      </c>
      <c r="E10">
        <f>IF(Input!$A5=1,(1.15*E2*E3*E5),IF(Input!$A5=2,(1.2*(E2*E3+2*E4*(E2+E3))*E5),(1.2*(3.1415*E3^2/4+3.1415*E3*E4)*E5)))</f>
        <v>2.88636</v>
      </c>
      <c r="F10">
        <f>IF(Input!$A5=1,(1.15*F2*F3*F5),IF(Input!$A5=2,(1.2*(F2*F3+2*F4*(F2+F3))*F5),(1.2*(3.1415*F3^2/4+3.1415*F3*F4)*F5)))</f>
        <v>2.88636</v>
      </c>
      <c r="G10">
        <f>IF(Input!$A5=1,(1.15*G2*G3*G5),IF(Input!$A5=2,(1.2*(G2*G3+2*G4*(G2+G3))*G5),(1.2*(3.1415*G3^2/4+3.1415*G3*G4)*G5)))</f>
        <v>2.88636</v>
      </c>
      <c r="H10">
        <f>IF(Input!$A5=1,(1.15*H2*H3*H5),IF(Input!$A5=2,(1.2*(H2*H3+2*H4*(H2+H3))*H5),(1.2*(3.1415*H3^2/4+3.1415*H3*H4)*H5)))</f>
        <v>2.88636</v>
      </c>
      <c r="I10">
        <f>IF(Input!$A5=1,(1.15*I2*I3*I5),IF(Input!$A5=2,(1.2*(I2*I3+2*I4*(I2+I3))*I5),(1.2*(3.1415*I3^2/4+3.1415*I3*I4)*I5)))</f>
        <v>2.88636</v>
      </c>
      <c r="J10">
        <f>IF(Input!$A5=1,(1.15*J2*J3*J5),IF(Input!$A5=2,(1.2*(J2*J3+2*J4*(J2+J3))*J5),(1.2*(3.1415*J3^2/4+3.1415*J3*J4)*J5)))</f>
        <v>2.88636</v>
      </c>
      <c r="K10">
        <f>IF(Input!$A5=1,(1.15*K2*K3*K5),IF(Input!$A5=2,(1.2*(K2*K3+2*K4*(K2+K3))*K5),(1.2*(3.1415*K3^2/4+3.1415*K3*K4)*K5)))</f>
        <v>2.88636</v>
      </c>
      <c r="L10">
        <f>IF(Input!$A5=1,(1.15*L2*L3*L5),IF(Input!$A5=2,(1.2*(L2*L3+2*L4*(L2+L3))*L5),(1.2*(3.1415*L3^2/4+3.1415*L3*L4)*L5)))</f>
        <v>2.88636</v>
      </c>
      <c r="M10">
        <f>IF(Input!$A5=1,(1.15*M2*M3*M5),IF(Input!$A5=2,(1.2*(M2*M3+2*M4*(M2+M3))*M5),(1.2*(3.1415*M3^2/4+3.1415*M3*M4)*M5)))</f>
        <v>2.88636</v>
      </c>
      <c r="N10">
        <f>IF(Input!$A5=1,(1.15*N2*N3*N5),IF(Input!$A5=2,(1.2*(N2*N3+2*N4*(N2+N3))*N5),(1.2*(3.1415*N3^2/4+3.1415*N3*N4)*N5)))</f>
        <v>2.88636</v>
      </c>
      <c r="O10">
        <f>IF(Input!$A5=1,(1.15*O2*O3*O5),IF(Input!$A5=2,(1.2*(O2*O3+2*O4*(O2+O3))*O5),(1.2*(3.1415*O3^2/4+3.1415*O3*O4)*O5)))</f>
        <v>2.88636</v>
      </c>
    </row>
    <row r="11" spans="1:15" ht="12.75">
      <c r="A11" s="3" t="s">
        <v>53</v>
      </c>
      <c r="B11" t="s">
        <v>54</v>
      </c>
      <c r="D11">
        <f>Input!$A31*D10</f>
        <v>0.064771650216</v>
      </c>
      <c r="E11">
        <f>Input!$A31*E10</f>
        <v>0.064771650216</v>
      </c>
      <c r="F11">
        <f>Input!$A31*F10</f>
        <v>0.064771650216</v>
      </c>
      <c r="G11">
        <f>Input!$A31*G10</f>
        <v>0.064771650216</v>
      </c>
      <c r="H11">
        <f>Input!$A31*H10</f>
        <v>0.064771650216</v>
      </c>
      <c r="I11">
        <f>Input!$A31*I10</f>
        <v>0.064771650216</v>
      </c>
      <c r="J11">
        <f>Input!$A31*J10</f>
        <v>0.064771650216</v>
      </c>
      <c r="K11">
        <f>Input!$A31*K10</f>
        <v>0.064771650216</v>
      </c>
      <c r="L11">
        <f>Input!$A31*L10</f>
        <v>0.064771650216</v>
      </c>
      <c r="M11">
        <f>Input!$A31*M10</f>
        <v>0.064771650216</v>
      </c>
      <c r="N11">
        <f>Input!$A31*N10</f>
        <v>0.064771650216</v>
      </c>
      <c r="O11">
        <f>Input!$A31*O10</f>
        <v>0.064771650216</v>
      </c>
    </row>
    <row r="12" spans="1:15" ht="12.75">
      <c r="A12" s="3" t="s">
        <v>8</v>
      </c>
      <c r="B12" t="s">
        <v>55</v>
      </c>
      <c r="D12">
        <f>D9*0.1</f>
        <v>0.5</v>
      </c>
      <c r="E12">
        <f aca="true" t="shared" si="0" ref="E12:O12">E9*0.1</f>
        <v>0.5</v>
      </c>
      <c r="F12">
        <f t="shared" si="0"/>
        <v>0.5</v>
      </c>
      <c r="G12">
        <f t="shared" si="0"/>
        <v>0.5</v>
      </c>
      <c r="H12">
        <f t="shared" si="0"/>
        <v>0.5</v>
      </c>
      <c r="I12">
        <f t="shared" si="0"/>
        <v>0.5</v>
      </c>
      <c r="J12">
        <f t="shared" si="0"/>
        <v>0.5</v>
      </c>
      <c r="K12">
        <f t="shared" si="0"/>
        <v>0.5</v>
      </c>
      <c r="L12">
        <f>L9*0.1</f>
        <v>0.5</v>
      </c>
      <c r="M12">
        <f>M9*0.1</f>
        <v>0.5</v>
      </c>
      <c r="N12">
        <f>N9*0.1</f>
        <v>0.5</v>
      </c>
      <c r="O12">
        <f t="shared" si="0"/>
        <v>0.5</v>
      </c>
    </row>
    <row r="13" spans="1:15" ht="12.75">
      <c r="A13" s="3" t="s">
        <v>57</v>
      </c>
      <c r="B13" t="s">
        <v>56</v>
      </c>
      <c r="D13">
        <f>IF(Input!$A28=1,1.1*(D5*10)^2.1,IF(Input!$A28=2,(D5*10)^2,IF(Input!$A28=3,0.92*(D5*10)^2,IF(Input!$A28=4,2.4*(D5*10)^1.9,EXP(D5*10)-1))))</f>
        <v>1.718281828459045</v>
      </c>
      <c r="E13">
        <f>IF(Input!$A28=1,1.1*(E5*10)^2.1,IF(Input!$A28=2,(E5*10)^2,IF(Input!$A28=3,0.92*(E5*10)^2,IF(Input!$A28=4,2.4*(E5*10)^1.9,EXP(E5*10)-1))))</f>
        <v>1.718281828459045</v>
      </c>
      <c r="F13">
        <f>IF(Input!$A28=1,1.1*(F5*10)^2.1,IF(Input!$A28=2,(F5*10)^2,IF(Input!$A28=3,0.92*(F5*10)^2,IF(Input!$A28=4,2.4*(F5*10)^1.9,EXP(F5*10)-1))))</f>
        <v>1.718281828459045</v>
      </c>
      <c r="G13">
        <f>IF(Input!$A28=1,1.1*(G5*10)^2.1,IF(Input!$A28=2,(G5*10)^2,IF(Input!$A28=3,0.92*(G5*10)^2,IF(Input!$A28=4,2.4*(G5*10)^1.9,EXP(G5*10)-1))))</f>
        <v>1.718281828459045</v>
      </c>
      <c r="H13">
        <f>IF(Input!$A28=1,1.1*(H5*10)^2.1,IF(Input!$A28=2,(H5*10)^2,IF(Input!$A28=3,0.92*(H5*10)^2,IF(Input!$A28=4,2.4*(H5*10)^1.9,EXP(H5*10)-1))))</f>
        <v>1.718281828459045</v>
      </c>
      <c r="I13">
        <f>IF(Input!$A28=1,1.1*(I5*10)^2.1,IF(Input!$A28=2,(I5*10)^2,IF(Input!$A28=3,0.92*(I5*10)^2,IF(Input!$A28=4,2.4*(I5*10)^1.9,EXP(I5*10)-1))))</f>
        <v>1.718281828459045</v>
      </c>
      <c r="J13">
        <f>IF(Input!$A28=1,1.1*(J5*10)^2.1,IF(Input!$A28=2,(J5*10)^2,IF(Input!$A28=3,0.92*(J5*10)^2,IF(Input!$A28=4,2.4*(J5*10)^1.9,EXP(J5*10)-1))))</f>
        <v>1.718281828459045</v>
      </c>
      <c r="K13">
        <f>IF(Input!$A28=1,1.1*(K5*10)^2.1,IF(Input!$A28=2,(K5*10)^2,IF(Input!$A28=3,0.92*(K5*10)^2,IF(Input!$A28=4,2.4*(K5*10)^1.9,EXP(K5*10)-1))))</f>
        <v>1.718281828459045</v>
      </c>
      <c r="L13">
        <f>IF(Input!$A28=1,1.1*(L5*10)^2.1,IF(Input!$A28=2,(L5*10)^2,IF(Input!$A28=3,0.92*(L5*10)^2,IF(Input!$A28=4,2.4*(L5*10)^1.9,EXP(L5*10)-1))))</f>
        <v>1.718281828459045</v>
      </c>
      <c r="M13">
        <f>IF(Input!$A28=1,1.1*(M5*10)^2.1,IF(Input!$A28=2,(M5*10)^2,IF(Input!$A28=3,0.92*(M5*10)^2,IF(Input!$A28=4,2.4*(M5*10)^1.9,EXP(M5*10)-1))))</f>
        <v>1.718281828459045</v>
      </c>
      <c r="N13">
        <f>IF(Input!$A28=1,1.1*(N5*10)^2.1,IF(Input!$A28=2,(N5*10)^2,IF(Input!$A28=3,0.92*(N5*10)^2,IF(Input!$A28=4,2.4*(N5*10)^1.9,EXP(N5*10)-1))))</f>
        <v>1.718281828459045</v>
      </c>
      <c r="O13">
        <f>IF(Input!$A28=1,1.1*(O5*10)^2.1,IF(Input!$A28=2,(O5*10)^2,IF(Input!$A28=3,0.92*(O5*10)^2,IF(Input!$A28=4,2.4*(O5*10)^1.9,EXP(O5*10)-1))))</f>
        <v>1.718281828459045</v>
      </c>
    </row>
    <row r="14" spans="1:15" ht="12.75">
      <c r="A14" s="3" t="s">
        <v>59</v>
      </c>
      <c r="B14" t="s">
        <v>58</v>
      </c>
      <c r="D14">
        <f aca="true" t="shared" si="1" ref="D14:O14">D9+D12+D13</f>
        <v>7.218281828459045</v>
      </c>
      <c r="E14">
        <f t="shared" si="1"/>
        <v>7.218281828459045</v>
      </c>
      <c r="F14">
        <f t="shared" si="1"/>
        <v>7.218281828459045</v>
      </c>
      <c r="G14">
        <f t="shared" si="1"/>
        <v>7.218281828459045</v>
      </c>
      <c r="H14">
        <f t="shared" si="1"/>
        <v>7.218281828459045</v>
      </c>
      <c r="I14">
        <f t="shared" si="1"/>
        <v>7.218281828459045</v>
      </c>
      <c r="J14">
        <f t="shared" si="1"/>
        <v>7.218281828459045</v>
      </c>
      <c r="K14">
        <f t="shared" si="1"/>
        <v>7.218281828459045</v>
      </c>
      <c r="L14">
        <f t="shared" si="1"/>
        <v>7.218281828459045</v>
      </c>
      <c r="M14">
        <f t="shared" si="1"/>
        <v>7.218281828459045</v>
      </c>
      <c r="N14">
        <f t="shared" si="1"/>
        <v>7.218281828459045</v>
      </c>
      <c r="O14">
        <f t="shared" si="1"/>
        <v>7.218281828459045</v>
      </c>
    </row>
    <row r="15" spans="1:15" ht="12.75">
      <c r="A15" s="3" t="s">
        <v>60</v>
      </c>
      <c r="B15" t="s">
        <v>61</v>
      </c>
      <c r="D15">
        <f>5+0.25*(100*D7)^0.5+0.2*D7</f>
        <v>12.707553511975902</v>
      </c>
      <c r="E15">
        <f aca="true" t="shared" si="2" ref="E15:O15">5+0.25*(100*E7)^0.5+0.2*E7</f>
        <v>12.707553511975902</v>
      </c>
      <c r="F15">
        <f t="shared" si="2"/>
        <v>12.707553511975902</v>
      </c>
      <c r="G15">
        <f t="shared" si="2"/>
        <v>12.707553511975902</v>
      </c>
      <c r="H15">
        <f t="shared" si="2"/>
        <v>12.707553511975902</v>
      </c>
      <c r="I15">
        <f t="shared" si="2"/>
        <v>12.707553511975902</v>
      </c>
      <c r="J15">
        <f t="shared" si="2"/>
        <v>12.707553511975902</v>
      </c>
      <c r="K15">
        <f t="shared" si="2"/>
        <v>12.707553511975902</v>
      </c>
      <c r="L15">
        <f>5+0.25*(100*L7)^0.5+0.2*L7</f>
        <v>12.707553511975902</v>
      </c>
      <c r="M15">
        <f>5+0.25*(100*M7)^0.5+0.2*M7</f>
        <v>12.707553511975902</v>
      </c>
      <c r="N15">
        <f>5+0.25*(100*N7)^0.5+0.2*N7</f>
        <v>12.707553511975902</v>
      </c>
      <c r="O15">
        <f t="shared" si="2"/>
        <v>12.707553511975902</v>
      </c>
    </row>
    <row r="16" spans="1:15" ht="12.75">
      <c r="A16" s="3" t="s">
        <v>62</v>
      </c>
      <c r="B16" t="s">
        <v>63</v>
      </c>
      <c r="D16">
        <f>0.025*(D15+Input!$C9)</f>
        <v>4.630188837799397</v>
      </c>
      <c r="E16">
        <f>0.025*(E15+Input!$C9)</f>
        <v>4.630188837799397</v>
      </c>
      <c r="F16">
        <f>0.025*(F15+Input!$C9)</f>
        <v>4.630188837799397</v>
      </c>
      <c r="G16">
        <f>0.025*(G15+Input!$C9)</f>
        <v>4.630188837799397</v>
      </c>
      <c r="H16">
        <f>0.025*(H15+Input!$C9)</f>
        <v>4.630188837799397</v>
      </c>
      <c r="I16">
        <f>0.025*(I15+Input!$C9)</f>
        <v>4.630188837799397</v>
      </c>
      <c r="J16">
        <f>0.025*(J15+Input!$C9)</f>
        <v>4.630188837799397</v>
      </c>
      <c r="K16">
        <f>0.025*(K15+Input!$C9)</f>
        <v>4.630188837799397</v>
      </c>
      <c r="L16">
        <f>0.025*(L15+Input!$C9)</f>
        <v>4.630188837799397</v>
      </c>
      <c r="M16">
        <f>0.025*(M15+Input!$C9)</f>
        <v>4.630188837799397</v>
      </c>
      <c r="N16">
        <f>0.025*(N15+Input!$C9)</f>
        <v>4.630188837799397</v>
      </c>
      <c r="O16">
        <f>0.025*(O15+Input!$C9)</f>
        <v>4.630188837799397</v>
      </c>
    </row>
    <row r="17" spans="1:15" ht="12.75">
      <c r="A17" s="3" t="s">
        <v>12</v>
      </c>
      <c r="B17" t="s">
        <v>66</v>
      </c>
      <c r="D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E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F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G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H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I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J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K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L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M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N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O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</row>
    <row r="18" spans="1:15" ht="12.75">
      <c r="A18" s="3" t="s">
        <v>67</v>
      </c>
      <c r="B18" t="s">
        <v>68</v>
      </c>
      <c r="D18">
        <f>IF(Input!$A21=1,(1.5*0.035*10*D8^0.5),IF(Input!$A21=2,(1.5*0.06*10*D8^0.5),1.5*0.1*10*D8^0.5))</f>
        <v>2.053615865978835</v>
      </c>
      <c r="E18">
        <f>IF(Input!$A21=1,(1.5*0.035*10*E8^0.5),IF(Input!$A21=2,(1.5*0.06*10*E8^0.5),1.5*0.1*10*E8^0.5))</f>
        <v>2.053615865978835</v>
      </c>
      <c r="F18">
        <f>IF(Input!$A21=1,(1.5*0.035*10*F8^0.5),IF(Input!$A21=2,(1.5*0.06*10*F8^0.5),1.5*0.1*10*F8^0.5))</f>
        <v>2.053615865978835</v>
      </c>
      <c r="G18">
        <f>IF(Input!$A21=1,(1.5*0.035*10*G8^0.5),IF(Input!$A21=2,(1.5*0.06*10*G8^0.5),1.5*0.1*10*G8^0.5))</f>
        <v>2.053615865978835</v>
      </c>
      <c r="H18">
        <f>IF(Input!$A21=1,(1.5*0.035*10*H8^0.5),IF(Input!$A21=2,(1.5*0.06*10*H8^0.5),1.5*0.1*10*H8^0.5))</f>
        <v>2.053615865978835</v>
      </c>
      <c r="I18">
        <f>IF(Input!$A21=1,(1.5*0.035*10*I8^0.5),IF(Input!$A21=2,(1.5*0.06*10*I8^0.5),1.5*0.1*10*I8^0.5))</f>
        <v>2.053615865978835</v>
      </c>
      <c r="J18">
        <f>IF(Input!$A21=1,(1.5*0.035*10*J8^0.5),IF(Input!$A21=2,(1.5*0.06*10*J8^0.5),1.5*0.1*10*J8^0.5))</f>
        <v>2.053615865978835</v>
      </c>
      <c r="K18">
        <f>IF(Input!$A21=1,(1.5*0.035*10*K8^0.5),IF(Input!$A21=2,(1.5*0.06*10*K8^0.5),1.5*0.1*10*K8^0.5))</f>
        <v>2.053615865978835</v>
      </c>
      <c r="L18">
        <f>IF(Input!$A21=1,(1.5*0.035*10*L8^0.5),IF(Input!$A21=2,(1.5*0.06*10*L8^0.5),1.5*0.1*10*L8^0.5))</f>
        <v>2.053615865978835</v>
      </c>
      <c r="M18">
        <f>IF(Input!$A21=1,(1.5*0.035*10*M8^0.5),IF(Input!$A21=2,(1.5*0.06*10*M8^0.5),1.5*0.1*10*M8^0.5))</f>
        <v>2.053615865978835</v>
      </c>
      <c r="N18">
        <f>IF(Input!$A21=1,(1.5*0.035*10*N8^0.5),IF(Input!$A21=2,(1.5*0.06*10*N8^0.5),1.5*0.1*10*N8^0.5))</f>
        <v>2.053615865978835</v>
      </c>
      <c r="O18">
        <f>IF(Input!$A21=1,(1.5*0.035*10*O8^0.5),IF(Input!$A21=2,(1.5*0.06*10*O8^0.5),1.5*0.1*10*O8^0.5))</f>
        <v>2.053615865978835</v>
      </c>
    </row>
    <row r="19" spans="1:15" ht="13.5" customHeight="1">
      <c r="A19" s="3" t="s">
        <v>69</v>
      </c>
      <c r="B19" t="s">
        <v>70</v>
      </c>
      <c r="D19">
        <f>(D15+Input!$C9+Input!$E9+D17+D18+D16)*Main!$D18</f>
        <v>14328.697537551394</v>
      </c>
      <c r="E19">
        <f>(E15+Input!$C9+Input!$E9+E17+E18+E16)*Main!$D18</f>
        <v>14328.697537551394</v>
      </c>
      <c r="F19">
        <f>(F15+Input!$C9+Input!$E9+F17+F18+F16)*Main!$D18</f>
        <v>14328.697537551394</v>
      </c>
      <c r="G19">
        <f>(G15+Input!$C9+Input!$E9+G17+G18+G16)*Main!$D18</f>
        <v>14328.697537551394</v>
      </c>
      <c r="H19">
        <f>(H15+Input!$C9+Input!$E9+H17+H18+H16)*Main!$D18</f>
        <v>14328.697537551394</v>
      </c>
      <c r="I19">
        <f>(I15+Input!$C9+Input!$E9+I17+I18+I16)*Main!$D18</f>
        <v>14328.697537551394</v>
      </c>
      <c r="J19">
        <f>(J15+Input!$C9+Input!$E9+J17+J18+J16)*Main!$D18</f>
        <v>14328.697537551394</v>
      </c>
      <c r="K19">
        <f>(K15+Input!$C9+Input!$E9+K17+K18+K16)*Main!$D18</f>
        <v>14328.697537551394</v>
      </c>
      <c r="L19">
        <f>(L15+Input!$C9+Input!$E9+L17+L18+L16)*Main!$D18</f>
        <v>14328.697537551394</v>
      </c>
      <c r="M19">
        <f>(M15+Input!$C9+Input!$E9+M17+M18+M16)*Main!$D18</f>
        <v>14328.697537551394</v>
      </c>
      <c r="N19">
        <f>(N15+Input!$C9+Input!$E9+N17+N18+N16)*Main!$D18</f>
        <v>14328.697537551394</v>
      </c>
      <c r="O19">
        <f>(O15+Input!$C9+Input!$E9+O17+O18+O16)*Main!$D18</f>
        <v>14328.697537551394</v>
      </c>
    </row>
    <row r="20" spans="1:15" ht="12.75">
      <c r="A20" s="3" t="s">
        <v>71</v>
      </c>
      <c r="D20">
        <f>(Main!$D18+45)*0.93</f>
        <v>74.4</v>
      </c>
      <c r="E20">
        <f>(Main!$D18+45)*0.93</f>
        <v>74.4</v>
      </c>
      <c r="F20">
        <f>(Main!$D18+45)*0.93</f>
        <v>74.4</v>
      </c>
      <c r="G20">
        <f>(Main!$D18+45)*0.93</f>
        <v>74.4</v>
      </c>
      <c r="H20">
        <f>(Main!$D18+45)*0.93</f>
        <v>74.4</v>
      </c>
      <c r="I20">
        <f>(Main!$D18+45)*0.93</f>
        <v>74.4</v>
      </c>
      <c r="J20">
        <f>(Main!$D18+45)*0.93</f>
        <v>74.4</v>
      </c>
      <c r="K20">
        <f>(Main!$D18+45)*0.93</f>
        <v>74.4</v>
      </c>
      <c r="L20">
        <f>(Main!$D18+45)*0.93</f>
        <v>74.4</v>
      </c>
      <c r="M20">
        <f>(Main!$D18+45)*0.93</f>
        <v>74.4</v>
      </c>
      <c r="N20">
        <f>(Main!$D18+45)*0.93</f>
        <v>74.4</v>
      </c>
      <c r="O20">
        <f>(Main!$D18+45)*0.93</f>
        <v>74.4</v>
      </c>
    </row>
    <row r="21" spans="1:15" ht="12.75">
      <c r="A21" s="3" t="s">
        <v>72</v>
      </c>
      <c r="D21">
        <f>(Main!$D18+45)*3.6</f>
        <v>288</v>
      </c>
      <c r="E21">
        <f>(Main!$D18+45)*3.6</f>
        <v>288</v>
      </c>
      <c r="F21">
        <f>(Main!$D18+45)*3.6</f>
        <v>288</v>
      </c>
      <c r="G21">
        <f>(Main!$D18+45)*3.6</f>
        <v>288</v>
      </c>
      <c r="H21">
        <f>(Main!$D18+45)*3.6</f>
        <v>288</v>
      </c>
      <c r="I21">
        <f>(Main!$D18+45)*3.6</f>
        <v>288</v>
      </c>
      <c r="J21">
        <f>(Main!$D18+45)*3.6</f>
        <v>288</v>
      </c>
      <c r="K21">
        <f>(Main!$D18+45)*3.6</f>
        <v>288</v>
      </c>
      <c r="L21">
        <f>(Main!$D18+45)*3.6</f>
        <v>288</v>
      </c>
      <c r="M21">
        <f>(Main!$D18+45)*3.6</f>
        <v>288</v>
      </c>
      <c r="N21">
        <f>(Main!$D18+45)*3.6</f>
        <v>288</v>
      </c>
      <c r="O21">
        <f>(Main!$D18+45)*3.6</f>
        <v>288</v>
      </c>
    </row>
    <row r="22" spans="1:15" ht="12.75">
      <c r="A22" s="3" t="s">
        <v>73</v>
      </c>
      <c r="D22">
        <f aca="true" t="shared" si="3" ref="D22:O22">(D6/D19*(D20*8500-D21*300)/(8200*1.71)*D14/(3600*0.85))^0.6035</f>
        <v>0.0118292478919055</v>
      </c>
      <c r="E22">
        <f t="shared" si="3"/>
        <v>0.020564299868957137</v>
      </c>
      <c r="F22">
        <f t="shared" si="3"/>
        <v>0.031245359832078087</v>
      </c>
      <c r="G22">
        <f t="shared" si="3"/>
        <v>0.047474142920361326</v>
      </c>
      <c r="H22">
        <f t="shared" si="3"/>
        <v>0.1253965333908687</v>
      </c>
      <c r="I22">
        <f t="shared" si="3"/>
        <v>0.19052726484539353</v>
      </c>
      <c r="J22">
        <f t="shared" si="3"/>
        <v>0.5032520243311105</v>
      </c>
      <c r="K22">
        <f t="shared" si="3"/>
        <v>0.7646402107850937</v>
      </c>
      <c r="L22">
        <f t="shared" si="3"/>
        <v>2.0196937917248907</v>
      </c>
      <c r="M22">
        <f t="shared" si="3"/>
        <v>3.068719075056875</v>
      </c>
      <c r="N22">
        <f t="shared" si="3"/>
        <v>12.31564417982804</v>
      </c>
      <c r="O22">
        <f t="shared" si="3"/>
        <v>3.068719075056875</v>
      </c>
    </row>
    <row r="23" spans="1:15" ht="12.75">
      <c r="A23" s="3" t="s">
        <v>74</v>
      </c>
      <c r="B23" t="s">
        <v>75</v>
      </c>
      <c r="D23">
        <f aca="true" t="shared" si="4" ref="D23:O23">IF(D22&lt;1,1,D22)</f>
        <v>1</v>
      </c>
      <c r="E23">
        <f t="shared" si="4"/>
        <v>1</v>
      </c>
      <c r="F23">
        <f t="shared" si="4"/>
        <v>1</v>
      </c>
      <c r="G23">
        <f t="shared" si="4"/>
        <v>1</v>
      </c>
      <c r="H23">
        <f t="shared" si="4"/>
        <v>1</v>
      </c>
      <c r="I23">
        <f t="shared" si="4"/>
        <v>1</v>
      </c>
      <c r="J23">
        <f t="shared" si="4"/>
        <v>1</v>
      </c>
      <c r="K23">
        <f t="shared" si="4"/>
        <v>1</v>
      </c>
      <c r="L23">
        <f t="shared" si="4"/>
        <v>2.0196937917248907</v>
      </c>
      <c r="M23">
        <f t="shared" si="4"/>
        <v>3.068719075056875</v>
      </c>
      <c r="N23">
        <f t="shared" si="4"/>
        <v>12.31564417982804</v>
      </c>
      <c r="O23">
        <f t="shared" si="4"/>
        <v>3.068719075056875</v>
      </c>
    </row>
    <row r="24" spans="1:15" ht="12.75">
      <c r="A24" s="3" t="s">
        <v>76</v>
      </c>
      <c r="D24">
        <f>IF(Input!$A9=1,D4+10,D4+15)</f>
        <v>16.6</v>
      </c>
      <c r="E24">
        <f>IF(Input!$A9=1,E4+10,E4+15)</f>
        <v>16.6</v>
      </c>
      <c r="F24">
        <f>IF(Input!$A9=1,F4+10,F4+15)</f>
        <v>16.6</v>
      </c>
      <c r="G24">
        <f>IF(Input!$A9=1,G4+10,G4+15)</f>
        <v>16.6</v>
      </c>
      <c r="H24">
        <f>IF(Input!$A9=1,H4+10,H4+15)</f>
        <v>16.6</v>
      </c>
      <c r="I24">
        <f>IF(Input!$A9=1,I4+10,I4+15)</f>
        <v>16.6</v>
      </c>
      <c r="J24">
        <f>IF(Input!$A9=1,J4+10,J4+15)</f>
        <v>16.6</v>
      </c>
      <c r="K24">
        <f>IF(Input!$A9=1,K4+10,K4+15)</f>
        <v>16.6</v>
      </c>
      <c r="L24">
        <f>IF(Input!$A9=1,L4+10,L4+15)</f>
        <v>16.6</v>
      </c>
      <c r="M24">
        <f>IF(Input!$A9=1,M4+10,M4+15)</f>
        <v>16.6</v>
      </c>
      <c r="N24">
        <f>IF(Input!$A9=1,N4+10,N4+15)</f>
        <v>16.6</v>
      </c>
      <c r="O24">
        <f>IF(Input!$A9=1,O4+10,O4+15)</f>
        <v>16.6</v>
      </c>
    </row>
    <row r="25" spans="1:15" ht="12.75">
      <c r="A25" s="3" t="s">
        <v>77</v>
      </c>
      <c r="B25" s="3"/>
      <c r="D25" s="3">
        <f aca="true" t="shared" si="5" ref="D25:O25">(D2+5)*(D3+5)*D23+5*(D2+D3+10)*D23^0.5+25</f>
        <v>161.249</v>
      </c>
      <c r="E25" s="3">
        <f t="shared" si="5"/>
        <v>161.249</v>
      </c>
      <c r="F25" s="3">
        <f t="shared" si="5"/>
        <v>161.249</v>
      </c>
      <c r="G25" s="3">
        <f t="shared" si="5"/>
        <v>161.249</v>
      </c>
      <c r="H25" s="3">
        <f t="shared" si="5"/>
        <v>161.249</v>
      </c>
      <c r="I25" s="3">
        <f t="shared" si="5"/>
        <v>161.249</v>
      </c>
      <c r="J25" s="3">
        <f t="shared" si="5"/>
        <v>161.249</v>
      </c>
      <c r="K25" s="3">
        <f t="shared" si="5"/>
        <v>161.249</v>
      </c>
      <c r="L25" s="3">
        <f t="shared" si="5"/>
        <v>253.88461746665052</v>
      </c>
      <c r="M25" s="3">
        <f t="shared" si="5"/>
        <v>341.24435665501494</v>
      </c>
      <c r="N25" s="3">
        <f t="shared" si="5"/>
        <v>1021.828525570613</v>
      </c>
      <c r="O25" s="3">
        <f t="shared" si="5"/>
        <v>341.24435665501494</v>
      </c>
    </row>
    <row r="26" spans="1:15" ht="12.75">
      <c r="A26" s="3" t="s">
        <v>78</v>
      </c>
      <c r="B26" t="s">
        <v>79</v>
      </c>
      <c r="D26">
        <f aca="true" t="shared" si="6" ref="D26:O26">1000+45*D25*D24^0.4</f>
        <v>23323.01129446339</v>
      </c>
      <c r="E26">
        <f t="shared" si="6"/>
        <v>23323.01129446339</v>
      </c>
      <c r="F26">
        <f t="shared" si="6"/>
        <v>23323.01129446339</v>
      </c>
      <c r="G26">
        <f t="shared" si="6"/>
        <v>23323.01129446339</v>
      </c>
      <c r="H26">
        <f t="shared" si="6"/>
        <v>23323.01129446339</v>
      </c>
      <c r="I26">
        <f t="shared" si="6"/>
        <v>23323.01129446339</v>
      </c>
      <c r="J26">
        <f t="shared" si="6"/>
        <v>23323.01129446339</v>
      </c>
      <c r="K26">
        <f t="shared" si="6"/>
        <v>23323.01129446339</v>
      </c>
      <c r="L26">
        <f t="shared" si="6"/>
        <v>36147.31367759525</v>
      </c>
      <c r="M26">
        <f t="shared" si="6"/>
        <v>48241.2332962176</v>
      </c>
      <c r="N26">
        <f t="shared" si="6"/>
        <v>142460.03830918434</v>
      </c>
      <c r="O26">
        <f t="shared" si="6"/>
        <v>48241.2332962176</v>
      </c>
    </row>
    <row r="27" spans="1:15" ht="12.75">
      <c r="A27" s="3" t="s">
        <v>80</v>
      </c>
      <c r="B27" t="s">
        <v>81</v>
      </c>
      <c r="D27">
        <f>D19*((1.71*D23^0.657)-0.71)</f>
        <v>14328.697537551394</v>
      </c>
      <c r="E27">
        <f aca="true" t="shared" si="7" ref="E27:O27">E19*((1.71*E23^0.657)-0.71)</f>
        <v>14328.697537551394</v>
      </c>
      <c r="F27">
        <f t="shared" si="7"/>
        <v>14328.697537551394</v>
      </c>
      <c r="G27">
        <f t="shared" si="7"/>
        <v>14328.697537551394</v>
      </c>
      <c r="H27">
        <f t="shared" si="7"/>
        <v>14328.697537551394</v>
      </c>
      <c r="I27">
        <f t="shared" si="7"/>
        <v>14328.697537551394</v>
      </c>
      <c r="J27">
        <f t="shared" si="7"/>
        <v>14328.697537551394</v>
      </c>
      <c r="K27">
        <f t="shared" si="7"/>
        <v>14328.697537551394</v>
      </c>
      <c r="L27">
        <f>L19*((1.71*L23^0.657)-0.71)</f>
        <v>28711.026290704973</v>
      </c>
      <c r="M27">
        <f>M19*((1.71*M23^0.657)-0.71)</f>
        <v>41010.558664212884</v>
      </c>
      <c r="N27">
        <f>N19*((1.71*N23^0.657)-0.71)</f>
        <v>117362.7334717158</v>
      </c>
      <c r="O27">
        <f t="shared" si="7"/>
        <v>41010.558664212884</v>
      </c>
    </row>
    <row r="28" spans="1:15" ht="12.75">
      <c r="A28" s="3" t="s">
        <v>82</v>
      </c>
      <c r="B28" t="s">
        <v>83</v>
      </c>
      <c r="D28">
        <f aca="true" t="shared" si="8" ref="D28:O28">D26+D27</f>
        <v>37651.70883201479</v>
      </c>
      <c r="E28">
        <f t="shared" si="8"/>
        <v>37651.70883201479</v>
      </c>
      <c r="F28">
        <f t="shared" si="8"/>
        <v>37651.70883201479</v>
      </c>
      <c r="G28">
        <f t="shared" si="8"/>
        <v>37651.70883201479</v>
      </c>
      <c r="H28">
        <f t="shared" si="8"/>
        <v>37651.70883201479</v>
      </c>
      <c r="I28">
        <f t="shared" si="8"/>
        <v>37651.70883201479</v>
      </c>
      <c r="J28">
        <f t="shared" si="8"/>
        <v>37651.70883201479</v>
      </c>
      <c r="K28">
        <f t="shared" si="8"/>
        <v>37651.70883201479</v>
      </c>
      <c r="L28">
        <f t="shared" si="8"/>
        <v>64858.33996830022</v>
      </c>
      <c r="M28">
        <f t="shared" si="8"/>
        <v>89251.79196043048</v>
      </c>
      <c r="N28">
        <f t="shared" si="8"/>
        <v>259822.77178090013</v>
      </c>
      <c r="O28">
        <f t="shared" si="8"/>
        <v>89251.79196043048</v>
      </c>
    </row>
    <row r="29" spans="1:15" ht="12.75">
      <c r="A29" s="3" t="s">
        <v>84</v>
      </c>
      <c r="B29" t="s">
        <v>85</v>
      </c>
      <c r="D29">
        <f aca="true" t="shared" si="9" ref="D29:O29">D28/D6</f>
        <v>376.5170883201479</v>
      </c>
      <c r="E29">
        <f t="shared" si="9"/>
        <v>150.60683532805916</v>
      </c>
      <c r="F29">
        <f t="shared" si="9"/>
        <v>75.30341766402958</v>
      </c>
      <c r="G29">
        <f t="shared" si="9"/>
        <v>37.65170883201479</v>
      </c>
      <c r="H29">
        <f t="shared" si="9"/>
        <v>7.530341766402958</v>
      </c>
      <c r="I29">
        <f t="shared" si="9"/>
        <v>3.765170883201479</v>
      </c>
      <c r="J29">
        <f t="shared" si="9"/>
        <v>0.7530341766402958</v>
      </c>
      <c r="K29">
        <f t="shared" si="9"/>
        <v>0.3765170883201479</v>
      </c>
      <c r="L29">
        <f t="shared" si="9"/>
        <v>0.12971667993660044</v>
      </c>
      <c r="M29">
        <f t="shared" si="9"/>
        <v>0.08925179196043048</v>
      </c>
      <c r="N29">
        <f t="shared" si="9"/>
        <v>0.025982277178090013</v>
      </c>
      <c r="O29">
        <f t="shared" si="9"/>
        <v>0.08925179196043048</v>
      </c>
    </row>
    <row r="30" spans="1:15" ht="12.75">
      <c r="A30" s="3" t="s">
        <v>86</v>
      </c>
      <c r="B30" t="s">
        <v>87</v>
      </c>
      <c r="D30">
        <f aca="true" t="shared" si="10" ref="D30:O30">D7*6*D23</f>
        <v>39.294000000000004</v>
      </c>
      <c r="E30">
        <f t="shared" si="10"/>
        <v>39.294000000000004</v>
      </c>
      <c r="F30">
        <f t="shared" si="10"/>
        <v>39.294000000000004</v>
      </c>
      <c r="G30">
        <f t="shared" si="10"/>
        <v>39.294000000000004</v>
      </c>
      <c r="H30">
        <f t="shared" si="10"/>
        <v>39.294000000000004</v>
      </c>
      <c r="I30">
        <f t="shared" si="10"/>
        <v>39.294000000000004</v>
      </c>
      <c r="J30">
        <f t="shared" si="10"/>
        <v>39.294000000000004</v>
      </c>
      <c r="K30">
        <f t="shared" si="10"/>
        <v>39.294000000000004</v>
      </c>
      <c r="L30">
        <f t="shared" si="10"/>
        <v>79.36184785203787</v>
      </c>
      <c r="M30">
        <f t="shared" si="10"/>
        <v>120.58224733528486</v>
      </c>
      <c r="N30">
        <f t="shared" si="10"/>
        <v>483.93092240216305</v>
      </c>
      <c r="O30">
        <f t="shared" si="10"/>
        <v>120.58224733528486</v>
      </c>
    </row>
    <row r="31" spans="1:15" ht="12.75">
      <c r="A31" s="3" t="s">
        <v>88</v>
      </c>
      <c r="D31" s="3">
        <f aca="true" t="shared" si="11" ref="D31:O31">IF(D30&lt;500,0.93,IF(D30&lt;800,1,IF(D30&lt;1100,1.1,IF(D30&lt;1600,1.2,IF(D30&lt;3200,1.36,IF(D30&lt;5000,1.88,IF(D30&lt;8500,2.46,3.6)))))))</f>
        <v>0.93</v>
      </c>
      <c r="E31" s="3">
        <f t="shared" si="11"/>
        <v>0.93</v>
      </c>
      <c r="F31" s="3">
        <f t="shared" si="11"/>
        <v>0.93</v>
      </c>
      <c r="G31" s="3">
        <f t="shared" si="11"/>
        <v>0.93</v>
      </c>
      <c r="H31" s="3">
        <f t="shared" si="11"/>
        <v>0.93</v>
      </c>
      <c r="I31" s="3">
        <f t="shared" si="11"/>
        <v>0.93</v>
      </c>
      <c r="J31" s="3">
        <f t="shared" si="11"/>
        <v>0.93</v>
      </c>
      <c r="K31" s="3">
        <f t="shared" si="11"/>
        <v>0.93</v>
      </c>
      <c r="L31" s="3">
        <f t="shared" si="11"/>
        <v>0.93</v>
      </c>
      <c r="M31" s="3">
        <f t="shared" si="11"/>
        <v>0.93</v>
      </c>
      <c r="N31" s="3">
        <f t="shared" si="11"/>
        <v>0.93</v>
      </c>
      <c r="O31" s="3">
        <f t="shared" si="11"/>
        <v>0.93</v>
      </c>
    </row>
    <row r="32" spans="1:15" ht="12.75">
      <c r="A32" s="3" t="s">
        <v>89</v>
      </c>
      <c r="B32" t="s">
        <v>90</v>
      </c>
      <c r="D32">
        <f>(Main!$D18+45)*D31*D14/(D23*3600)</f>
        <v>0.14917782445482025</v>
      </c>
      <c r="E32">
        <f>(Main!$D18+45)*E31*E14/(E23*3600)</f>
        <v>0.14917782445482025</v>
      </c>
      <c r="F32">
        <f>(Main!$D18+45)*F31*F14/(F23*3600)</f>
        <v>0.14917782445482025</v>
      </c>
      <c r="G32">
        <f>(Main!$D18+45)*G31*G14/(G23*3600)</f>
        <v>0.14917782445482025</v>
      </c>
      <c r="H32">
        <f>(Main!$D18+45)*H31*H14/(H23*3600)</f>
        <v>0.14917782445482025</v>
      </c>
      <c r="I32">
        <f>(Main!$D18+45)*I31*I14/(I23*3600)</f>
        <v>0.14917782445482025</v>
      </c>
      <c r="J32">
        <f>(Main!$D18+45)*J31*J14/(J23*3600)</f>
        <v>0.14917782445482025</v>
      </c>
      <c r="K32">
        <f>(Main!$D18+45)*K31*K14/(K23*3600)</f>
        <v>0.14917782445482025</v>
      </c>
      <c r="L32">
        <f>(Main!$D18+45)*L31*L14/(L23*3600)</f>
        <v>0.07386160469771859</v>
      </c>
      <c r="M32">
        <f>(Main!$D18+45)*M31*M14/(M23*3600)</f>
        <v>0.048612408241394796</v>
      </c>
      <c r="N32">
        <f>(Main!$D18+45)*N31*N14/(N23*3600)</f>
        <v>0.012112872236042726</v>
      </c>
      <c r="O32">
        <f>(Main!$D18+45)*O31*O14/(O23*3600)</f>
        <v>0.048612408241394796</v>
      </c>
    </row>
    <row r="33" spans="1:15" ht="12.75">
      <c r="A33" s="3" t="s">
        <v>91</v>
      </c>
      <c r="B33" t="s">
        <v>92</v>
      </c>
      <c r="D33">
        <f>D29+D32+Input!$A29</f>
        <v>376.8032661446027</v>
      </c>
      <c r="E33">
        <f>E29+E32+Input!$A29</f>
        <v>150.893013152514</v>
      </c>
      <c r="F33">
        <f>F29+F32+Input!$A29</f>
        <v>75.5895954884844</v>
      </c>
      <c r="G33">
        <f>G29+G32+Input!$A29</f>
        <v>37.93788665646961</v>
      </c>
      <c r="H33">
        <f>H29+H32+Input!$A29</f>
        <v>7.816519590857778</v>
      </c>
      <c r="I33">
        <f>I29+I32+Input!$A29</f>
        <v>4.051348707656299</v>
      </c>
      <c r="J33">
        <f>J29+J32+Input!$A29</f>
        <v>1.039212001095116</v>
      </c>
      <c r="K33">
        <f>K29+K32+Input!$A29</f>
        <v>0.6626949127749682</v>
      </c>
      <c r="L33">
        <f>L29+L32+Input!$A29</f>
        <v>0.34057828463431905</v>
      </c>
      <c r="M33">
        <f>M29+M32+Input!$A29</f>
        <v>0.2748642002018253</v>
      </c>
      <c r="N33">
        <f>N29+N32+Input!$A29</f>
        <v>0.17509514941413273</v>
      </c>
      <c r="O33">
        <f>O29+O32+Input!$A29</f>
        <v>0.2748642002018253</v>
      </c>
    </row>
    <row r="38" spans="11:15" s="4" customFormat="1" ht="12.75">
      <c r="K38" s="6"/>
      <c r="O38" s="6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G32"/>
  <sheetViews>
    <sheetView workbookViewId="0" topLeftCell="A2">
      <selection activeCell="A31" sqref="A31"/>
    </sheetView>
  </sheetViews>
  <sheetFormatPr defaultColWidth="9.140625" defaultRowHeight="12.75"/>
  <cols>
    <col min="1" max="1" width="22.7109375" style="0" customWidth="1"/>
    <col min="3" max="3" width="6.140625" style="0" customWidth="1"/>
    <col min="4" max="4" width="5.140625" style="0" customWidth="1"/>
    <col min="5" max="5" width="6.421875" style="0" customWidth="1"/>
    <col min="6" max="6" width="5.57421875" style="0" customWidth="1"/>
    <col min="7" max="7" width="6.00390625" style="0" customWidth="1"/>
    <col min="8" max="8" width="7.00390625" style="0" customWidth="1"/>
    <col min="9" max="9" width="6.28125" style="0" customWidth="1"/>
    <col min="10" max="10" width="7.421875" style="0" customWidth="1"/>
    <col min="11" max="11" width="5.00390625" style="0" customWidth="1"/>
    <col min="12" max="12" width="7.57421875" style="0" customWidth="1"/>
    <col min="13" max="13" width="6.57421875" style="0" customWidth="1"/>
  </cols>
  <sheetData>
    <row r="2" ht="12.75">
      <c r="A2" s="1" t="s">
        <v>48</v>
      </c>
    </row>
    <row r="3" ht="12.75">
      <c r="A3" s="1" t="s">
        <v>18</v>
      </c>
    </row>
    <row r="4" ht="12.75">
      <c r="A4" s="1" t="s">
        <v>19</v>
      </c>
    </row>
    <row r="5" spans="1:2" ht="12.75">
      <c r="A5" s="3">
        <v>2</v>
      </c>
      <c r="B5" t="s">
        <v>23</v>
      </c>
    </row>
    <row r="6" spans="1:5" ht="12.75">
      <c r="A6" s="1" t="s">
        <v>20</v>
      </c>
      <c r="C6">
        <v>28.5</v>
      </c>
      <c r="E6">
        <v>0</v>
      </c>
    </row>
    <row r="7" spans="1:5" ht="12.75">
      <c r="A7" s="1" t="s">
        <v>5</v>
      </c>
      <c r="C7">
        <v>172.5</v>
      </c>
      <c r="E7">
        <v>200</v>
      </c>
    </row>
    <row r="8" spans="1:5" ht="12.75">
      <c r="A8" s="1" t="s">
        <v>21</v>
      </c>
      <c r="C8">
        <v>445</v>
      </c>
      <c r="E8">
        <v>500</v>
      </c>
    </row>
    <row r="9" spans="1:6" ht="12.75">
      <c r="A9">
        <v>2</v>
      </c>
      <c r="B9" t="s">
        <v>22</v>
      </c>
      <c r="C9">
        <f>IF(A9=1,C6,IF(A9=2,C7,C8))</f>
        <v>172.5</v>
      </c>
      <c r="D9" t="s">
        <v>64</v>
      </c>
      <c r="E9">
        <f>IF(A9=1,E6,IF(A9=2,E7,E8))</f>
        <v>200</v>
      </c>
      <c r="F9" t="s">
        <v>65</v>
      </c>
    </row>
    <row r="11" ht="12.75">
      <c r="A11" s="1" t="s">
        <v>24</v>
      </c>
    </row>
    <row r="12" ht="12.75">
      <c r="A12" s="1" t="s">
        <v>25</v>
      </c>
    </row>
    <row r="13" spans="1:2" ht="12.75">
      <c r="A13">
        <v>1</v>
      </c>
      <c r="B13" t="s">
        <v>28</v>
      </c>
    </row>
    <row r="14" ht="12.75">
      <c r="A14" s="1" t="s">
        <v>4</v>
      </c>
    </row>
    <row r="15" ht="12.75">
      <c r="A15" s="1" t="s">
        <v>5</v>
      </c>
    </row>
    <row r="16" ht="12.75">
      <c r="A16" s="1" t="s">
        <v>6</v>
      </c>
    </row>
    <row r="17" spans="1:7" ht="12.75">
      <c r="A17">
        <v>2</v>
      </c>
      <c r="B17" t="s">
        <v>7</v>
      </c>
      <c r="F17">
        <f>IF(A17=1,0.8,IF(A17=2,1,1.3))</f>
        <v>1</v>
      </c>
      <c r="G17" t="s">
        <v>8</v>
      </c>
    </row>
    <row r="18" ht="12.75">
      <c r="A18" s="1" t="s">
        <v>35</v>
      </c>
    </row>
    <row r="19" ht="12.75">
      <c r="A19" s="1" t="s">
        <v>36</v>
      </c>
    </row>
    <row r="20" ht="12.75">
      <c r="A20" s="1" t="s">
        <v>37</v>
      </c>
    </row>
    <row r="21" spans="1:7" ht="12.75">
      <c r="A21">
        <v>1</v>
      </c>
      <c r="B21" t="s">
        <v>14</v>
      </c>
      <c r="F21">
        <f>IF(A21=1,0.7,IF(A21=2,1,1.4))</f>
        <v>0.7</v>
      </c>
      <c r="G21" t="s">
        <v>9</v>
      </c>
    </row>
    <row r="23" spans="1:3" ht="12.75">
      <c r="A23" s="1" t="s">
        <v>38</v>
      </c>
      <c r="B23">
        <v>0.7</v>
      </c>
      <c r="C23" t="s">
        <v>44</v>
      </c>
    </row>
    <row r="24" spans="1:2" ht="12.75">
      <c r="A24" s="1" t="s">
        <v>39</v>
      </c>
      <c r="B24">
        <v>0.885</v>
      </c>
    </row>
    <row r="25" spans="1:2" ht="12.75">
      <c r="A25" s="1" t="s">
        <v>40</v>
      </c>
      <c r="B25">
        <v>0.412</v>
      </c>
    </row>
    <row r="26" spans="1:2" ht="12.75">
      <c r="A26" s="1" t="s">
        <v>41</v>
      </c>
      <c r="B26">
        <v>0.137</v>
      </c>
    </row>
    <row r="27" spans="1:2" ht="12.75">
      <c r="A27" s="1" t="s">
        <v>42</v>
      </c>
      <c r="B27">
        <v>0.137</v>
      </c>
    </row>
    <row r="28" spans="1:2" ht="12.75">
      <c r="A28">
        <v>5</v>
      </c>
      <c r="B28" t="s">
        <v>45</v>
      </c>
    </row>
    <row r="29" spans="1:2" ht="12.75">
      <c r="A29">
        <f>IF(A28=1,B23,IF(A28=2,B24,IF(A28=3,B25,IF(A28=4,B26,B27))))</f>
        <v>0.137</v>
      </c>
      <c r="B29" t="s">
        <v>102</v>
      </c>
    </row>
    <row r="30" spans="1:2" ht="12.75">
      <c r="A30">
        <f>A29*16.38</f>
        <v>2.24406</v>
      </c>
      <c r="B30" t="s">
        <v>103</v>
      </c>
    </row>
    <row r="31" spans="1:2" ht="12.75">
      <c r="A31">
        <f>A30*0.01</f>
        <v>0.0224406</v>
      </c>
      <c r="B31" t="s">
        <v>104</v>
      </c>
    </row>
    <row r="32" ht="12.75">
      <c r="C3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Robust Decisions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Ullman</dc:creator>
  <cp:keywords/>
  <dc:description/>
  <cp:lastModifiedBy>David Ullman</cp:lastModifiedBy>
  <cp:lastPrinted>2007-08-16T19:59:08Z</cp:lastPrinted>
  <dcterms:created xsi:type="dcterms:W3CDTF">2007-06-26T00:48:34Z</dcterms:created>
  <dcterms:modified xsi:type="dcterms:W3CDTF">2008-12-18T17:15:51Z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