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200" activeTab="2"/>
  </bookViews>
  <sheets>
    <sheet name="Working Trial Balance" sheetId="1" r:id="rId1"/>
    <sheet name="Financial Statements" sheetId="2" r:id="rId2"/>
    <sheet name="Ratios" sheetId="3" r:id="rId3"/>
  </sheets>
  <definedNames>
    <definedName name="\P">'Working Trial Balance'!$C$104</definedName>
    <definedName name="BS">'Financial Statements'!$A$1:$N$50</definedName>
    <definedName name="HEADING">'Working Trial Balance'!$C$6:$C$8</definedName>
    <definedName name="IS">'Financial Statements'!$A$55:$N$104</definedName>
    <definedName name="MACROS">'Working Trial Balance'!$A$101</definedName>
    <definedName name="NETINC4">'Financial Statements'!$I$99</definedName>
    <definedName name="NETINC5">'Financial Statements'!$E$99</definedName>
    <definedName name="_xlnm.Print_Area" localSheetId="0">'Working Trial Balance'!$A$5:$J$63</definedName>
    <definedName name="PRINTMENU">'Working Trial Balance'!$C$107</definedName>
    <definedName name="RATIOS">'Ratios'!$A$2:$K$23</definedName>
    <definedName name="WS">'Working Trial Balance'!$B$4</definedName>
    <definedName name="WTB">'Working Trial Balance'!$A$5:$J$63</definedName>
    <definedName name="X">'Working Trial Balance'!$H$5:$I$7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<sst xmlns="http://schemas.openxmlformats.org/spreadsheetml/2006/main" count="264" uniqueCount="214">
  <si>
    <t>Ref. No.</t>
  </si>
  <si>
    <t>WTB-1</t>
  </si>
  <si>
    <t>KEYSTONE COMPUTERS &amp; NETWORKS, INC.</t>
  </si>
  <si>
    <t>Prep'd by</t>
  </si>
  <si>
    <t>WL</t>
  </si>
  <si>
    <t>Working Trial Balance</t>
  </si>
  <si>
    <t>Date</t>
  </si>
  <si>
    <t>1/10/X6</t>
  </si>
  <si>
    <t>19X5</t>
  </si>
  <si>
    <t>Adjustments</t>
  </si>
  <si>
    <t>Acct. No.</t>
  </si>
  <si>
    <t>Account Name</t>
  </si>
  <si>
    <t>Adjusted</t>
  </si>
  <si>
    <t>Unadjusted</t>
  </si>
  <si>
    <t>Ref #</t>
  </si>
  <si>
    <t>Dr.</t>
  </si>
  <si>
    <t>Cr.</t>
  </si>
  <si>
    <t>1000.10</t>
  </si>
  <si>
    <t>Cash-First National Bank</t>
  </si>
  <si>
    <t>1000.30</t>
  </si>
  <si>
    <t>Cash in register</t>
  </si>
  <si>
    <t>1050.10</t>
  </si>
  <si>
    <t>Accounts receivable-trade</t>
  </si>
  <si>
    <t>1050.40</t>
  </si>
  <si>
    <t>Accounts receivable-officers</t>
  </si>
  <si>
    <t>1050.90</t>
  </si>
  <si>
    <t>Allowance for bad debts</t>
  </si>
  <si>
    <t>1100.10</t>
  </si>
  <si>
    <t>Inventories</t>
  </si>
  <si>
    <t>1300.10</t>
  </si>
  <si>
    <t>Prepaid expenses</t>
  </si>
  <si>
    <t>2050.10</t>
  </si>
  <si>
    <t>Furniture &amp; fixtures</t>
  </si>
  <si>
    <t>2050.30</t>
  </si>
  <si>
    <t>Office equipment</t>
  </si>
  <si>
    <t>2050.80</t>
  </si>
  <si>
    <t>Leasehold improvements</t>
  </si>
  <si>
    <t>2050.90</t>
  </si>
  <si>
    <t>Accumulated depreciation</t>
  </si>
  <si>
    <t>2100.00</t>
  </si>
  <si>
    <t>Software development cost</t>
  </si>
  <si>
    <t>3050.10</t>
  </si>
  <si>
    <t>Accounts payable-trade</t>
  </si>
  <si>
    <t>3100.00</t>
  </si>
  <si>
    <t>Capital lease oblig.-current</t>
  </si>
  <si>
    <t>3200.10</t>
  </si>
  <si>
    <t>Accrued liabilities</t>
  </si>
  <si>
    <t>3300.30</t>
  </si>
  <si>
    <t>Unearned service revenue</t>
  </si>
  <si>
    <t>3400.50</t>
  </si>
  <si>
    <t>Line of credit</t>
  </si>
  <si>
    <t>4400.10</t>
  </si>
  <si>
    <t>Capital lease oblig.-noncurr.</t>
  </si>
  <si>
    <t>5050.10</t>
  </si>
  <si>
    <t>Capital stock</t>
  </si>
  <si>
    <t>5100.10</t>
  </si>
  <si>
    <t>Paid-in capital</t>
  </si>
  <si>
    <t>5700.10</t>
  </si>
  <si>
    <t>Retained earnings</t>
  </si>
  <si>
    <t>5900.00</t>
  </si>
  <si>
    <t>Dividends</t>
  </si>
  <si>
    <t>Totals</t>
  </si>
  <si>
    <t>6000.10</t>
  </si>
  <si>
    <t>Sales of computers</t>
  </si>
  <si>
    <t>6010.10</t>
  </si>
  <si>
    <t>Service revenue</t>
  </si>
  <si>
    <t>6020.10</t>
  </si>
  <si>
    <t>Consulting revenue</t>
  </si>
  <si>
    <t>7020.10</t>
  </si>
  <si>
    <t>Cost of sales</t>
  </si>
  <si>
    <t>7070.10</t>
  </si>
  <si>
    <t>Salaries-sales</t>
  </si>
  <si>
    <t>7070.50</t>
  </si>
  <si>
    <t>Payroll benefits-sales</t>
  </si>
  <si>
    <t>7075.10</t>
  </si>
  <si>
    <t>Advertising &amp; promotion</t>
  </si>
  <si>
    <t>7080.10</t>
  </si>
  <si>
    <t>Travel &amp; entertainment</t>
  </si>
  <si>
    <t>7080.30</t>
  </si>
  <si>
    <t>Miscellaneous exp. -sales</t>
  </si>
  <si>
    <t>7090.10</t>
  </si>
  <si>
    <t>Salaries-operations</t>
  </si>
  <si>
    <t>7090.30</t>
  </si>
  <si>
    <t>Salaries-administrative</t>
  </si>
  <si>
    <t>7090.50</t>
  </si>
  <si>
    <t>Payroll benefits-admin.</t>
  </si>
  <si>
    <t>7100.10</t>
  </si>
  <si>
    <t>Rent</t>
  </si>
  <si>
    <t>7140.10</t>
  </si>
  <si>
    <t>Utilities</t>
  </si>
  <si>
    <t>7200.10</t>
  </si>
  <si>
    <t>Insurance</t>
  </si>
  <si>
    <t>7260.30</t>
  </si>
  <si>
    <t>Legal and accounting</t>
  </si>
  <si>
    <t>7320.10</t>
  </si>
  <si>
    <t>Bad debt expense</t>
  </si>
  <si>
    <t>7410.10</t>
  </si>
  <si>
    <t>Supplies</t>
  </si>
  <si>
    <t>7600.10</t>
  </si>
  <si>
    <t>Depreciation</t>
  </si>
  <si>
    <t>7650.10</t>
  </si>
  <si>
    <t>Software development</t>
  </si>
  <si>
    <t>7700.10</t>
  </si>
  <si>
    <t>Miscellaneous exp.-admin.</t>
  </si>
  <si>
    <t>7800.10</t>
  </si>
  <si>
    <t>Interest expense</t>
  </si>
  <si>
    <t>7900.10</t>
  </si>
  <si>
    <t>Current income taxes</t>
  </si>
  <si>
    <t>7900.70</t>
  </si>
  <si>
    <t>Deferred income taxes</t>
  </si>
  <si>
    <t>9000.00</t>
  </si>
  <si>
    <t>P &amp; L Summary</t>
  </si>
  <si>
    <t xml:space="preserve">Total Balance Sheet </t>
  </si>
  <si>
    <t>Total Income Statement</t>
  </si>
  <si>
    <t>Out-of-balance</t>
  </si>
  <si>
    <t>macros</t>
  </si>
  <si>
    <t>\p</t>
  </si>
  <si>
    <t>{CALC}{MENUBRANCH printmenu}</t>
  </si>
  <si>
    <t>Printmenu</t>
  </si>
  <si>
    <t>WTB</t>
  </si>
  <si>
    <t>BALANCE SHEET</t>
  </si>
  <si>
    <t>INCOME STATEMENT</t>
  </si>
  <si>
    <t>RATIOS</t>
  </si>
  <si>
    <t>QUIT</t>
  </si>
  <si>
    <t>Print Working Trial Balance</t>
  </si>
  <si>
    <t>Print Balance Sheet</t>
  </si>
  <si>
    <t>Print Income Statement</t>
  </si>
  <si>
    <t>Print Analytical Ratios</t>
  </si>
  <si>
    <t>Quit Print Menu</t>
  </si>
  <si>
    <t>:prcrsWTB~g</t>
  </si>
  <si>
    <t>:prcrsBS~g</t>
  </si>
  <si>
    <t>:prcrsIS~g</t>
  </si>
  <si>
    <t>:prcrsRATIOS~g</t>
  </si>
  <si>
    <t>{QUIT}</t>
  </si>
  <si>
    <t>{MENUBRANCH Printmenu}</t>
  </si>
  <si>
    <t>Balance Sheet</t>
  </si>
  <si>
    <t>December 31,</t>
  </si>
  <si>
    <t>Increase</t>
  </si>
  <si>
    <t>Assets</t>
  </si>
  <si>
    <t>19X4</t>
  </si>
  <si>
    <t>(Decrease)</t>
  </si>
  <si>
    <t>Current assets</t>
  </si>
  <si>
    <t>Cash</t>
  </si>
  <si>
    <t>$</t>
  </si>
  <si>
    <t>Trade receivables</t>
  </si>
  <si>
    <t>Allowance for doubtful accounts</t>
  </si>
  <si>
    <t>Receivables-officers</t>
  </si>
  <si>
    <t>Inventory</t>
  </si>
  <si>
    <t xml:space="preserve">  Total current assets</t>
  </si>
  <si>
    <t>Equipment and leasehold improvements</t>
  </si>
  <si>
    <t>Office equipment and furniture</t>
  </si>
  <si>
    <t>Less: accumulated depreciation</t>
  </si>
  <si>
    <t>Liabilities and Stockholders' Equity</t>
  </si>
  <si>
    <t>Current Liabilities</t>
  </si>
  <si>
    <t>Accounts payable</t>
  </si>
  <si>
    <t>Current maturities of capital</t>
  </si>
  <si>
    <t xml:space="preserve">  lease obligations</t>
  </si>
  <si>
    <t>Accrued expenses</t>
  </si>
  <si>
    <t xml:space="preserve">    Total current liabilities</t>
  </si>
  <si>
    <t>Capital Lease Obligations</t>
  </si>
  <si>
    <t>Less current maturities</t>
  </si>
  <si>
    <t>Total Liabilities</t>
  </si>
  <si>
    <t>Stockholders' equity</t>
  </si>
  <si>
    <t>Common stock</t>
  </si>
  <si>
    <t>Additional paid-in capital</t>
  </si>
  <si>
    <t>Statement of Income and Retained Earnings</t>
  </si>
  <si>
    <t>For the Years Ended December 31,</t>
  </si>
  <si>
    <t>Net sales</t>
  </si>
  <si>
    <t>Cost of goods sold</t>
  </si>
  <si>
    <t>Gross profit</t>
  </si>
  <si>
    <t>Selling expenses:</t>
  </si>
  <si>
    <t>Salaries</t>
  </si>
  <si>
    <t>Payroll benefits and taxes</t>
  </si>
  <si>
    <t>Advertising and promotion</t>
  </si>
  <si>
    <t>Travel and entertainment</t>
  </si>
  <si>
    <t>MIscellaneous</t>
  </si>
  <si>
    <t>Operating and administrative expenses:</t>
  </si>
  <si>
    <t>Operating salaries</t>
  </si>
  <si>
    <t>Administrative salaries</t>
  </si>
  <si>
    <t>Bad debts</t>
  </si>
  <si>
    <t>Miscellaneous</t>
  </si>
  <si>
    <t xml:space="preserve">  Total selling, operating and</t>
  </si>
  <si>
    <t xml:space="preserve">   administrative expenses</t>
  </si>
  <si>
    <t>Operating income</t>
  </si>
  <si>
    <t>Income before income taxes</t>
  </si>
  <si>
    <t>Income taxes:</t>
  </si>
  <si>
    <t>Current</t>
  </si>
  <si>
    <t>Deferred</t>
  </si>
  <si>
    <t>Net income</t>
  </si>
  <si>
    <t>Retained earnings, January 1</t>
  </si>
  <si>
    <t xml:space="preserve">Less: Dividends </t>
  </si>
  <si>
    <t>Retained earnings, December 31</t>
  </si>
  <si>
    <t>Plan-1</t>
  </si>
  <si>
    <t>Prepared by</t>
  </si>
  <si>
    <t>Analytical Procedures Ratios</t>
  </si>
  <si>
    <t>Industry</t>
  </si>
  <si>
    <t>Current ratio</t>
  </si>
  <si>
    <t>Days sales in average accounts receivable</t>
  </si>
  <si>
    <t>Allowance for doubtful accounts / accounts receivable</t>
  </si>
  <si>
    <t>-</t>
  </si>
  <si>
    <t>Bad debt expenses/net sales</t>
  </si>
  <si>
    <t>Inventory turnover, computed with average inventory</t>
  </si>
  <si>
    <t>Days inventory on hand, computed with avg inventory</t>
  </si>
  <si>
    <t>Total liabilities to net worth</t>
  </si>
  <si>
    <t>Return on total assets</t>
  </si>
  <si>
    <t>Return on net worth</t>
  </si>
  <si>
    <t>Return on net sales</t>
  </si>
  <si>
    <t>Gross profit/net sales</t>
  </si>
  <si>
    <t>Selling, operating and admin expense / net sales</t>
  </si>
  <si>
    <t>Times interest earned</t>
  </si>
  <si>
    <t>For the Year Ended December 31, 20X5</t>
  </si>
  <si>
    <t>20x4</t>
  </si>
  <si>
    <t>20X5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</si>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</sst>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0.0_)"/>
  </numFmts>
  <fonts count="9">
    <font>
      <sz val="10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12"/>
      <name val="Arial Rounded MT Bold"/>
      <family val="0"/>
    </font>
    <font>
      <b/>
      <sz val="10"/>
      <name val="Arial MT"/>
      <family val="0"/>
    </font>
    <font>
      <i/>
      <sz val="10"/>
      <name val="Brush Script MT"/>
      <family val="0"/>
    </font>
    <font>
      <sz val="9"/>
      <name val="Arial MT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37" fontId="0" fillId="0" borderId="0" xfId="0" applyAlignment="1">
      <alignment/>
    </xf>
    <xf numFmtId="37" fontId="5" fillId="0" borderId="0" xfId="0" applyFont="1" applyAlignment="1">
      <alignment/>
    </xf>
    <xf numFmtId="37" fontId="0" fillId="0" borderId="1" xfId="0" applyBorder="1" applyAlignment="1">
      <alignment/>
    </xf>
    <xf numFmtId="37" fontId="0" fillId="0" borderId="0" xfId="0" applyAlignment="1">
      <alignment horizontal="left"/>
    </xf>
    <xf numFmtId="37" fontId="6" fillId="0" borderId="2" xfId="0" applyFont="1" applyBorder="1" applyAlignment="1">
      <alignment horizontal="center"/>
    </xf>
    <xf numFmtId="37" fontId="6" fillId="0" borderId="0" xfId="0" applyFont="1" applyAlignment="1">
      <alignment horizontal="centerContinuous"/>
    </xf>
    <xf numFmtId="37" fontId="0" fillId="0" borderId="0" xfId="0" applyAlignment="1">
      <alignment horizontal="centerContinuous"/>
    </xf>
    <xf numFmtId="37" fontId="7" fillId="0" borderId="2" xfId="0" applyFont="1" applyBorder="1" applyAlignment="1">
      <alignment horizontal="center"/>
    </xf>
    <xf numFmtId="37" fontId="0" fillId="0" borderId="2" xfId="0" applyBorder="1" applyAlignment="1">
      <alignment horizontal="center"/>
    </xf>
    <xf numFmtId="37" fontId="8" fillId="0" borderId="3" xfId="0" applyFont="1" applyBorder="1" applyAlignment="1">
      <alignment/>
    </xf>
    <xf numFmtId="37" fontId="8" fillId="0" borderId="4" xfId="0" applyFont="1" applyBorder="1" applyAlignment="1">
      <alignment/>
    </xf>
    <xf numFmtId="37" fontId="8" fillId="0" borderId="3" xfId="0" applyFont="1" applyBorder="1" applyAlignment="1">
      <alignment horizontal="centerContinuous"/>
    </xf>
    <xf numFmtId="37" fontId="8" fillId="0" borderId="4" xfId="0" applyFont="1" applyBorder="1" applyAlignment="1">
      <alignment horizontal="centerContinuous"/>
    </xf>
    <xf numFmtId="37" fontId="8" fillId="0" borderId="5" xfId="0" applyFont="1" applyBorder="1" applyAlignment="1">
      <alignment horizontal="center"/>
    </xf>
    <xf numFmtId="37" fontId="8" fillId="0" borderId="2" xfId="0" applyFont="1" applyBorder="1" applyAlignment="1">
      <alignment horizontal="center"/>
    </xf>
    <xf numFmtId="37" fontId="8" fillId="0" borderId="6" xfId="0" applyFont="1" applyBorder="1" applyAlignment="1">
      <alignment horizontal="center"/>
    </xf>
    <xf numFmtId="37" fontId="8" fillId="0" borderId="2" xfId="0" applyFont="1" applyBorder="1" applyAlignment="1">
      <alignment horizontal="left"/>
    </xf>
    <xf numFmtId="37" fontId="8" fillId="0" borderId="5" xfId="0" applyFont="1" applyBorder="1" applyAlignment="1">
      <alignment/>
    </xf>
    <xf numFmtId="37" fontId="8" fillId="0" borderId="6" xfId="0" applyFont="1" applyBorder="1" applyAlignment="1">
      <alignment/>
    </xf>
    <xf numFmtId="37" fontId="8" fillId="0" borderId="2" xfId="0" applyFont="1" applyBorder="1" applyAlignment="1" quotePrefix="1">
      <alignment horizontal="left"/>
    </xf>
    <xf numFmtId="37" fontId="8" fillId="0" borderId="2" xfId="0" applyFont="1" applyBorder="1" applyAlignment="1" quotePrefix="1">
      <alignment horizontal="right"/>
    </xf>
    <xf numFmtId="37" fontId="8" fillId="0" borderId="2" xfId="0" applyFont="1" applyBorder="1" applyAlignment="1">
      <alignment/>
    </xf>
    <xf numFmtId="37" fontId="8" fillId="0" borderId="0" xfId="0" applyFont="1" applyAlignment="1">
      <alignment/>
    </xf>
    <xf numFmtId="164" fontId="0" fillId="0" borderId="0" xfId="0" applyNumberFormat="1" applyAlignment="1" applyProtection="1">
      <alignment/>
      <protection/>
    </xf>
    <xf numFmtId="37" fontId="6" fillId="0" borderId="0" xfId="0" applyFont="1" applyAlignment="1">
      <alignment horizontal="center"/>
    </xf>
    <xf numFmtId="37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7" fontId="0" fillId="0" borderId="2" xfId="0" applyBorder="1" applyAlignment="1">
      <alignment/>
    </xf>
    <xf numFmtId="37" fontId="6" fillId="0" borderId="0" xfId="0" applyFont="1" applyAlignment="1">
      <alignment horizontal="left"/>
    </xf>
    <xf numFmtId="37" fontId="6" fillId="0" borderId="0" xfId="0" applyFont="1" applyAlignment="1">
      <alignment/>
    </xf>
    <xf numFmtId="37" fontId="6" fillId="0" borderId="2" xfId="0" applyFont="1" applyBorder="1" applyAlignment="1">
      <alignment horizontal="centerContinuous"/>
    </xf>
    <xf numFmtId="37" fontId="7" fillId="0" borderId="2" xfId="0" applyFont="1" applyBorder="1" applyAlignment="1">
      <alignment horizontal="centerContinuous"/>
    </xf>
    <xf numFmtId="37" fontId="0" fillId="0" borderId="2" xfId="0" applyBorder="1" applyAlignment="1">
      <alignment horizontal="centerContinuous"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37" fontId="0" fillId="0" borderId="0" xfId="0" applyAlignment="1" quotePrefix="1">
      <alignment horizontal="left"/>
    </xf>
    <xf numFmtId="37" fontId="8" fillId="0" borderId="3" xfId="0" applyFont="1" applyBorder="1" applyAlignment="1" quotePrefix="1">
      <alignment horizontal="center"/>
    </xf>
    <xf numFmtId="37" fontId="8" fillId="0" borderId="7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110"/>
  <sheetViews>
    <sheetView showGridLines="0" workbookViewId="0" topLeftCell="A33">
      <selection activeCell="I36" sqref="I36"/>
    </sheetView>
  </sheetViews>
  <sheetFormatPr defaultColWidth="9.7109375" defaultRowHeight="12.75"/>
  <cols>
    <col min="1" max="1" width="0.42578125" style="0" customWidth="1"/>
    <col min="2" max="2" width="9.00390625" style="0" customWidth="1"/>
    <col min="3" max="3" width="23.57421875" style="0" customWidth="1"/>
    <col min="4" max="4" width="10.28125" style="0" customWidth="1"/>
    <col min="5" max="5" width="11.28125" style="0" customWidth="1"/>
    <col min="6" max="6" width="5.28125" style="0" customWidth="1"/>
    <col min="7" max="8" width="7.140625" style="0" customWidth="1"/>
    <col min="9" max="9" width="11.00390625" style="0" customWidth="1"/>
    <col min="10" max="10" width="5.7109375" style="0" customWidth="1"/>
  </cols>
  <sheetData>
    <row r="2" ht="15">
      <c r="B2" s="1"/>
    </row>
    <row r="3" spans="2:9" ht="13.5" thickBot="1">
      <c r="B3" s="2"/>
      <c r="C3" s="2"/>
      <c r="D3" s="2"/>
      <c r="E3" s="2"/>
      <c r="F3" s="2"/>
      <c r="G3" s="2"/>
      <c r="H3" s="2"/>
      <c r="I3" s="2"/>
    </row>
    <row r="4" ht="13.5" thickTop="1"/>
    <row r="5" spans="8:9" ht="12.75">
      <c r="H5" s="3" t="s">
        <v>0</v>
      </c>
      <c r="I5" s="4" t="s">
        <v>1</v>
      </c>
    </row>
    <row r="6" spans="3:9" ht="13.5">
      <c r="C6" s="5" t="s">
        <v>2</v>
      </c>
      <c r="D6" s="6"/>
      <c r="H6" s="3" t="s">
        <v>3</v>
      </c>
      <c r="I6" s="7" t="s">
        <v>4</v>
      </c>
    </row>
    <row r="7" spans="3:9" ht="12.75">
      <c r="C7" s="5" t="s">
        <v>5</v>
      </c>
      <c r="D7" s="6"/>
      <c r="H7" s="3" t="s">
        <v>6</v>
      </c>
      <c r="I7" s="8" t="s">
        <v>7</v>
      </c>
    </row>
    <row r="8" spans="3:4" ht="12.75">
      <c r="C8" s="5" t="s">
        <v>210</v>
      </c>
      <c r="D8" s="6"/>
    </row>
    <row r="9" ht="10.5" customHeight="1"/>
    <row r="10" spans="2:9" ht="12.75">
      <c r="B10" s="9"/>
      <c r="C10" s="10"/>
      <c r="D10" s="36" t="s">
        <v>211</v>
      </c>
      <c r="E10" s="36" t="s">
        <v>212</v>
      </c>
      <c r="F10" s="11" t="s">
        <v>9</v>
      </c>
      <c r="G10" s="12"/>
      <c r="H10" s="12"/>
      <c r="I10" s="37" t="s">
        <v>212</v>
      </c>
    </row>
    <row r="11" spans="2:9" ht="12.75">
      <c r="B11" s="13" t="s">
        <v>10</v>
      </c>
      <c r="C11" s="14" t="s">
        <v>11</v>
      </c>
      <c r="D11" s="13" t="s">
        <v>12</v>
      </c>
      <c r="E11" s="13" t="s">
        <v>13</v>
      </c>
      <c r="F11" s="13" t="s">
        <v>14</v>
      </c>
      <c r="G11" s="13" t="s">
        <v>15</v>
      </c>
      <c r="H11" s="13" t="s">
        <v>16</v>
      </c>
      <c r="I11" s="15" t="s">
        <v>12</v>
      </c>
    </row>
    <row r="12" spans="2:9" ht="12.75">
      <c r="B12" s="13" t="s">
        <v>17</v>
      </c>
      <c r="C12" s="16" t="s">
        <v>18</v>
      </c>
      <c r="D12" s="17">
        <v>26489</v>
      </c>
      <c r="E12" s="17">
        <v>46753</v>
      </c>
      <c r="F12" s="17"/>
      <c r="G12" s="17"/>
      <c r="H12" s="17"/>
      <c r="I12" s="18">
        <f aca="true" t="shared" si="0" ref="I12:I33">E12+G12-H12</f>
        <v>46753</v>
      </c>
    </row>
    <row r="13" spans="2:9" ht="12.75">
      <c r="B13" s="13" t="s">
        <v>19</v>
      </c>
      <c r="C13" s="16" t="s">
        <v>20</v>
      </c>
      <c r="D13" s="17">
        <v>600</v>
      </c>
      <c r="E13" s="17">
        <v>600</v>
      </c>
      <c r="F13" s="17"/>
      <c r="G13" s="17" t="s">
        <v>213</v>
      </c>
      <c r="H13" s="17" t="s">
        <v>213</v>
      </c>
      <c r="I13" s="18">
        <f t="shared" si="0"/>
        <v>600</v>
      </c>
    </row>
    <row r="14" spans="2:9" ht="12.75">
      <c r="B14" s="13" t="s">
        <v>21</v>
      </c>
      <c r="C14" s="16" t="s">
        <v>22</v>
      </c>
      <c r="D14" s="17">
        <v>853452</v>
      </c>
      <c r="E14" s="17">
        <v>1023545</v>
      </c>
      <c r="F14" s="17"/>
      <c r="G14" s="17"/>
      <c r="H14" s="17"/>
      <c r="I14" s="18">
        <f t="shared" si="0"/>
        <v>1023545</v>
      </c>
    </row>
    <row r="15" spans="2:9" ht="12.75">
      <c r="B15" s="13" t="s">
        <v>23</v>
      </c>
      <c r="C15" s="16" t="s">
        <v>24</v>
      </c>
      <c r="D15" s="17">
        <v>57643</v>
      </c>
      <c r="E15" s="17">
        <v>84670</v>
      </c>
      <c r="F15" s="17"/>
      <c r="G15" s="17"/>
      <c r="H15" s="17"/>
      <c r="I15" s="18">
        <f t="shared" si="0"/>
        <v>84670</v>
      </c>
    </row>
    <row r="16" spans="2:9" ht="12.75">
      <c r="B16" s="13" t="s">
        <v>25</v>
      </c>
      <c r="C16" s="16" t="s">
        <v>26</v>
      </c>
      <c r="D16" s="17">
        <v>-9600</v>
      </c>
      <c r="E16" s="17">
        <v>-10400</v>
      </c>
      <c r="F16" s="17"/>
      <c r="G16" s="17"/>
      <c r="H16" s="17"/>
      <c r="I16" s="18">
        <f t="shared" si="0"/>
        <v>-10400</v>
      </c>
    </row>
    <row r="17" spans="2:9" ht="12.75">
      <c r="B17" s="13" t="s">
        <v>27</v>
      </c>
      <c r="C17" s="16" t="s">
        <v>28</v>
      </c>
      <c r="D17" s="17">
        <v>694744</v>
      </c>
      <c r="E17" s="17">
        <v>903766</v>
      </c>
      <c r="F17" s="17"/>
      <c r="G17" s="17"/>
      <c r="H17" s="17"/>
      <c r="I17" s="18">
        <f t="shared" si="0"/>
        <v>903766</v>
      </c>
    </row>
    <row r="18" spans="2:9" ht="12.75">
      <c r="B18" s="13" t="s">
        <v>29</v>
      </c>
      <c r="C18" s="16" t="s">
        <v>30</v>
      </c>
      <c r="D18" s="17">
        <v>40640</v>
      </c>
      <c r="E18" s="17">
        <v>42555</v>
      </c>
      <c r="F18" s="17"/>
      <c r="G18" s="17"/>
      <c r="H18" s="17"/>
      <c r="I18" s="18">
        <f t="shared" si="0"/>
        <v>42555</v>
      </c>
    </row>
    <row r="19" spans="2:9" ht="12.75">
      <c r="B19" s="13" t="s">
        <v>31</v>
      </c>
      <c r="C19" s="16" t="s">
        <v>32</v>
      </c>
      <c r="D19" s="17">
        <v>35432</v>
      </c>
      <c r="E19" s="17">
        <v>41633</v>
      </c>
      <c r="F19" s="17"/>
      <c r="G19" s="17"/>
      <c r="H19" s="17"/>
      <c r="I19" s="18">
        <f t="shared" si="0"/>
        <v>41633</v>
      </c>
    </row>
    <row r="20" spans="2:9" ht="12.75">
      <c r="B20" s="13" t="s">
        <v>33</v>
      </c>
      <c r="C20" s="16" t="s">
        <v>34</v>
      </c>
      <c r="D20" s="17">
        <v>245449</v>
      </c>
      <c r="E20" s="17">
        <v>305450</v>
      </c>
      <c r="F20" s="17"/>
      <c r="G20" s="17"/>
      <c r="H20" s="17"/>
      <c r="I20" s="18">
        <f t="shared" si="0"/>
        <v>305450</v>
      </c>
    </row>
    <row r="21" spans="2:9" ht="12.75">
      <c r="B21" s="13" t="s">
        <v>35</v>
      </c>
      <c r="C21" s="16" t="s">
        <v>36</v>
      </c>
      <c r="D21" s="17">
        <v>17645</v>
      </c>
      <c r="E21" s="17">
        <v>17645</v>
      </c>
      <c r="F21" s="17"/>
      <c r="G21" s="17"/>
      <c r="H21" s="17"/>
      <c r="I21" s="18">
        <f t="shared" si="0"/>
        <v>17645</v>
      </c>
    </row>
    <row r="22" spans="2:9" ht="12.75">
      <c r="B22" s="13" t="s">
        <v>37</v>
      </c>
      <c r="C22" s="16" t="s">
        <v>38</v>
      </c>
      <c r="D22" s="17">
        <v>-125976</v>
      </c>
      <c r="E22" s="17">
        <v>-154732</v>
      </c>
      <c r="F22" s="17"/>
      <c r="G22" s="17"/>
      <c r="H22" s="17"/>
      <c r="I22" s="18">
        <f t="shared" si="0"/>
        <v>-154732</v>
      </c>
    </row>
    <row r="23" spans="2:9" ht="12.75">
      <c r="B23" s="13" t="s">
        <v>39</v>
      </c>
      <c r="C23" s="16" t="s">
        <v>40</v>
      </c>
      <c r="D23" s="17"/>
      <c r="E23" s="17">
        <v>58674</v>
      </c>
      <c r="F23" s="17"/>
      <c r="G23" s="17"/>
      <c r="H23" s="17"/>
      <c r="I23" s="18">
        <f t="shared" si="0"/>
        <v>58674</v>
      </c>
    </row>
    <row r="24" spans="2:9" ht="12.75">
      <c r="B24" s="13" t="s">
        <v>41</v>
      </c>
      <c r="C24" s="16" t="s">
        <v>42</v>
      </c>
      <c r="D24" s="17">
        <v>-504641</v>
      </c>
      <c r="E24" s="17">
        <v>-586699</v>
      </c>
      <c r="F24" s="17"/>
      <c r="G24" s="17"/>
      <c r="H24" s="17"/>
      <c r="I24" s="18">
        <f t="shared" si="0"/>
        <v>-586699</v>
      </c>
    </row>
    <row r="25" spans="2:9" ht="12.75">
      <c r="B25" s="13" t="s">
        <v>43</v>
      </c>
      <c r="C25" s="19" t="s">
        <v>44</v>
      </c>
      <c r="D25" s="17">
        <v>-20183</v>
      </c>
      <c r="E25" s="17">
        <v>-21050</v>
      </c>
      <c r="F25" s="17"/>
      <c r="G25" s="17"/>
      <c r="H25" s="17"/>
      <c r="I25" s="18">
        <f t="shared" si="0"/>
        <v>-21050</v>
      </c>
    </row>
    <row r="26" spans="2:9" ht="12.75">
      <c r="B26" s="13" t="s">
        <v>45</v>
      </c>
      <c r="C26" s="16" t="s">
        <v>46</v>
      </c>
      <c r="D26" s="17">
        <v>-115332</v>
      </c>
      <c r="E26" s="17">
        <v>-130040</v>
      </c>
      <c r="F26" s="17"/>
      <c r="G26" s="17"/>
      <c r="H26" s="17"/>
      <c r="I26" s="18">
        <f t="shared" si="0"/>
        <v>-130040</v>
      </c>
    </row>
    <row r="27" spans="2:9" ht="12.75">
      <c r="B27" s="13" t="s">
        <v>47</v>
      </c>
      <c r="C27" s="16" t="s">
        <v>48</v>
      </c>
      <c r="D27" s="17"/>
      <c r="E27" s="17">
        <v>-22100</v>
      </c>
      <c r="F27" s="17"/>
      <c r="G27" s="17"/>
      <c r="H27" s="17"/>
      <c r="I27" s="18">
        <f t="shared" si="0"/>
        <v>-22100</v>
      </c>
    </row>
    <row r="28" spans="2:9" ht="12.75">
      <c r="B28" s="13" t="s">
        <v>49</v>
      </c>
      <c r="C28" s="16" t="s">
        <v>50</v>
      </c>
      <c r="D28" s="17">
        <v>-309346</v>
      </c>
      <c r="E28" s="17">
        <v>-365867</v>
      </c>
      <c r="F28" s="17"/>
      <c r="G28" s="17"/>
      <c r="H28" s="17"/>
      <c r="I28" s="18">
        <f t="shared" si="0"/>
        <v>-365867</v>
      </c>
    </row>
    <row r="29" spans="2:9" ht="12.75">
      <c r="B29" s="13" t="s">
        <v>51</v>
      </c>
      <c r="C29" s="19" t="s">
        <v>52</v>
      </c>
      <c r="D29" s="17">
        <v>-135465</v>
      </c>
      <c r="E29" s="17">
        <v>-114415</v>
      </c>
      <c r="F29" s="17"/>
      <c r="G29" s="17"/>
      <c r="H29" s="17"/>
      <c r="I29" s="18">
        <f t="shared" si="0"/>
        <v>-114415</v>
      </c>
    </row>
    <row r="30" spans="2:9" ht="12.75">
      <c r="B30" s="13" t="s">
        <v>53</v>
      </c>
      <c r="C30" s="16" t="s">
        <v>54</v>
      </c>
      <c r="D30" s="17">
        <v>-20000</v>
      </c>
      <c r="E30" s="17">
        <v>-20000</v>
      </c>
      <c r="F30" s="17"/>
      <c r="G30" s="17"/>
      <c r="H30" s="17"/>
      <c r="I30" s="18">
        <f t="shared" si="0"/>
        <v>-20000</v>
      </c>
    </row>
    <row r="31" spans="2:9" ht="12.75">
      <c r="B31" s="13" t="s">
        <v>55</v>
      </c>
      <c r="C31" s="16" t="s">
        <v>56</v>
      </c>
      <c r="D31" s="17">
        <v>-41647</v>
      </c>
      <c r="E31" s="17">
        <v>-41647</v>
      </c>
      <c r="F31" s="17"/>
      <c r="G31" s="17"/>
      <c r="H31" s="17"/>
      <c r="I31" s="18">
        <f t="shared" si="0"/>
        <v>-41647</v>
      </c>
    </row>
    <row r="32" spans="2:9" ht="12.75">
      <c r="B32" s="13" t="s">
        <v>57</v>
      </c>
      <c r="C32" s="16" t="s">
        <v>58</v>
      </c>
      <c r="D32" s="17">
        <v>-689904</v>
      </c>
      <c r="E32" s="17">
        <v>-689904</v>
      </c>
      <c r="F32" s="17"/>
      <c r="G32" s="17"/>
      <c r="H32" s="17"/>
      <c r="I32" s="18">
        <f t="shared" si="0"/>
        <v>-689904</v>
      </c>
    </row>
    <row r="33" spans="2:9" ht="12.75">
      <c r="B33" s="13" t="s">
        <v>59</v>
      </c>
      <c r="C33" s="16" t="s">
        <v>60</v>
      </c>
      <c r="D33" s="17"/>
      <c r="E33" s="17">
        <v>90000</v>
      </c>
      <c r="F33" s="17"/>
      <c r="G33" s="17"/>
      <c r="H33" s="17"/>
      <c r="I33" s="18">
        <f t="shared" si="0"/>
        <v>90000</v>
      </c>
    </row>
    <row r="34" spans="2:9" ht="12.75">
      <c r="B34" s="17"/>
      <c r="C34" s="20" t="s">
        <v>61</v>
      </c>
      <c r="D34" s="17">
        <f>SUM($D$12:$D$33)</f>
        <v>0</v>
      </c>
      <c r="E34" s="17">
        <f>SUM($E$12:$E$33)</f>
        <v>458437</v>
      </c>
      <c r="F34" s="17"/>
      <c r="G34" s="17"/>
      <c r="H34" s="17"/>
      <c r="I34" s="18">
        <f>SUM($E$12:$E$33)</f>
        <v>458437</v>
      </c>
    </row>
    <row r="35" spans="2:9" ht="12.75">
      <c r="B35" s="17"/>
      <c r="C35" s="21"/>
      <c r="D35" s="17"/>
      <c r="E35" s="17"/>
      <c r="F35" s="17"/>
      <c r="G35" s="17"/>
      <c r="H35" s="17"/>
      <c r="I35" s="18"/>
    </row>
    <row r="36" spans="2:9" ht="12.75">
      <c r="B36" s="13" t="s">
        <v>62</v>
      </c>
      <c r="C36" s="16" t="s">
        <v>63</v>
      </c>
      <c r="D36" s="17">
        <v>-9044432</v>
      </c>
      <c r="E36" s="17">
        <v>-10156898</v>
      </c>
      <c r="F36" s="17"/>
      <c r="G36" s="17"/>
      <c r="H36" s="17"/>
      <c r="I36" s="18">
        <f aca="true" t="shared" si="1" ref="I36:I60">E36+G36-H36</f>
        <v>-10156898</v>
      </c>
    </row>
    <row r="37" spans="2:9" ht="12.75">
      <c r="B37" s="13" t="s">
        <v>64</v>
      </c>
      <c r="C37" s="16" t="s">
        <v>65</v>
      </c>
      <c r="D37" s="17">
        <v>-187423</v>
      </c>
      <c r="E37" s="17">
        <v>-210845</v>
      </c>
      <c r="F37" s="17"/>
      <c r="G37" s="17"/>
      <c r="H37" s="17"/>
      <c r="I37" s="18">
        <f t="shared" si="1"/>
        <v>-210845</v>
      </c>
    </row>
    <row r="38" spans="2:9" ht="12.75">
      <c r="B38" s="13" t="s">
        <v>66</v>
      </c>
      <c r="C38" s="16" t="s">
        <v>67</v>
      </c>
      <c r="D38" s="17">
        <v>-995619</v>
      </c>
      <c r="E38" s="17">
        <v>-1234763</v>
      </c>
      <c r="F38" s="17"/>
      <c r="G38" s="17"/>
      <c r="H38" s="17"/>
      <c r="I38" s="18">
        <f t="shared" si="1"/>
        <v>-1234763</v>
      </c>
    </row>
    <row r="39" spans="2:9" ht="12.75">
      <c r="B39" s="13" t="s">
        <v>68</v>
      </c>
      <c r="C39" s="16" t="s">
        <v>69</v>
      </c>
      <c r="D39" s="17">
        <v>6867473</v>
      </c>
      <c r="E39" s="17">
        <v>7397368</v>
      </c>
      <c r="F39" s="17"/>
      <c r="G39" s="17"/>
      <c r="H39" s="17"/>
      <c r="I39" s="18">
        <f t="shared" si="1"/>
        <v>7397368</v>
      </c>
    </row>
    <row r="40" spans="2:9" ht="12.75">
      <c r="B40" s="13" t="s">
        <v>70</v>
      </c>
      <c r="C40" s="16" t="s">
        <v>71</v>
      </c>
      <c r="D40" s="17">
        <v>513040</v>
      </c>
      <c r="E40" s="17">
        <v>583438</v>
      </c>
      <c r="F40" s="17"/>
      <c r="G40" s="17"/>
      <c r="H40" s="17"/>
      <c r="I40" s="18">
        <f t="shared" si="1"/>
        <v>583438</v>
      </c>
    </row>
    <row r="41" spans="2:9" ht="12.75">
      <c r="B41" s="13" t="s">
        <v>72</v>
      </c>
      <c r="C41" s="16" t="s">
        <v>73</v>
      </c>
      <c r="D41" s="17">
        <v>97478</v>
      </c>
      <c r="E41" s="17">
        <v>125354</v>
      </c>
      <c r="F41" s="17"/>
      <c r="G41" s="17"/>
      <c r="H41" s="17"/>
      <c r="I41" s="18">
        <f t="shared" si="1"/>
        <v>125354</v>
      </c>
    </row>
    <row r="42" spans="2:9" ht="12.75">
      <c r="B42" s="13" t="s">
        <v>74</v>
      </c>
      <c r="C42" s="16" t="s">
        <v>75</v>
      </c>
      <c r="D42" s="17">
        <v>81644</v>
      </c>
      <c r="E42" s="17">
        <v>92645</v>
      </c>
      <c r="F42" s="17"/>
      <c r="G42" s="17"/>
      <c r="H42" s="17"/>
      <c r="I42" s="18">
        <f t="shared" si="1"/>
        <v>92645</v>
      </c>
    </row>
    <row r="43" spans="2:9" ht="12.75">
      <c r="B43" s="13" t="s">
        <v>76</v>
      </c>
      <c r="C43" s="16" t="s">
        <v>77</v>
      </c>
      <c r="D43" s="17">
        <v>37628</v>
      </c>
      <c r="E43" s="17">
        <v>44655</v>
      </c>
      <c r="F43" s="17"/>
      <c r="G43" s="17"/>
      <c r="H43" s="17"/>
      <c r="I43" s="18">
        <f t="shared" si="1"/>
        <v>44655</v>
      </c>
    </row>
    <row r="44" spans="2:9" ht="12.75">
      <c r="B44" s="13" t="s">
        <v>78</v>
      </c>
      <c r="C44" s="19" t="s">
        <v>79</v>
      </c>
      <c r="D44" s="17">
        <v>16322</v>
      </c>
      <c r="E44" s="17">
        <v>21455</v>
      </c>
      <c r="F44" s="17"/>
      <c r="G44" s="17"/>
      <c r="H44" s="17"/>
      <c r="I44" s="18">
        <f t="shared" si="1"/>
        <v>21455</v>
      </c>
    </row>
    <row r="45" spans="2:9" ht="12.75">
      <c r="B45" s="13" t="s">
        <v>80</v>
      </c>
      <c r="C45" s="16" t="s">
        <v>81</v>
      </c>
      <c r="D45" s="17">
        <v>802988</v>
      </c>
      <c r="E45" s="17">
        <v>983455</v>
      </c>
      <c r="F45" s="17"/>
      <c r="G45" s="17"/>
      <c r="H45" s="17"/>
      <c r="I45" s="18">
        <f t="shared" si="1"/>
        <v>983455</v>
      </c>
    </row>
    <row r="46" spans="2:9" ht="12.75">
      <c r="B46" s="13" t="s">
        <v>82</v>
      </c>
      <c r="C46" s="16" t="s">
        <v>83</v>
      </c>
      <c r="D46" s="17">
        <v>437889</v>
      </c>
      <c r="E46" s="17">
        <v>596060</v>
      </c>
      <c r="F46" s="17"/>
      <c r="G46" s="17"/>
      <c r="H46" s="17"/>
      <c r="I46" s="18">
        <f t="shared" si="1"/>
        <v>596060</v>
      </c>
    </row>
    <row r="47" spans="2:9" ht="12.75">
      <c r="B47" s="13" t="s">
        <v>84</v>
      </c>
      <c r="C47" s="19" t="s">
        <v>85</v>
      </c>
      <c r="D47" s="17">
        <v>223433</v>
      </c>
      <c r="E47" s="17">
        <v>319876</v>
      </c>
      <c r="F47" s="17"/>
      <c r="G47" s="17"/>
      <c r="H47" s="17"/>
      <c r="I47" s="18">
        <f t="shared" si="1"/>
        <v>319876</v>
      </c>
    </row>
    <row r="48" spans="2:9" ht="12.75">
      <c r="B48" s="13" t="s">
        <v>86</v>
      </c>
      <c r="C48" s="16" t="s">
        <v>87</v>
      </c>
      <c r="D48" s="17">
        <v>124344</v>
      </c>
      <c r="E48" s="17">
        <v>166988</v>
      </c>
      <c r="F48" s="17"/>
      <c r="G48" s="17"/>
      <c r="H48" s="17"/>
      <c r="I48" s="18">
        <f t="shared" si="1"/>
        <v>166988</v>
      </c>
    </row>
    <row r="49" spans="2:9" ht="12.75">
      <c r="B49" s="13" t="s">
        <v>88</v>
      </c>
      <c r="C49" s="16" t="s">
        <v>89</v>
      </c>
      <c r="D49" s="17">
        <v>92455</v>
      </c>
      <c r="E49" s="17">
        <v>110876</v>
      </c>
      <c r="F49" s="17"/>
      <c r="G49" s="17"/>
      <c r="H49" s="17"/>
      <c r="I49" s="18">
        <f t="shared" si="1"/>
        <v>110876</v>
      </c>
    </row>
    <row r="50" spans="2:9" ht="12.75">
      <c r="B50" s="13" t="s">
        <v>90</v>
      </c>
      <c r="C50" s="16" t="s">
        <v>91</v>
      </c>
      <c r="D50" s="17">
        <v>109723</v>
      </c>
      <c r="E50" s="17">
        <v>93454</v>
      </c>
      <c r="F50" s="17"/>
      <c r="G50" s="17"/>
      <c r="H50" s="17"/>
      <c r="I50" s="18">
        <f t="shared" si="1"/>
        <v>93454</v>
      </c>
    </row>
    <row r="51" spans="2:9" ht="12.75">
      <c r="B51" s="13" t="s">
        <v>92</v>
      </c>
      <c r="C51" s="16" t="s">
        <v>93</v>
      </c>
      <c r="D51" s="17">
        <v>73544</v>
      </c>
      <c r="E51" s="17">
        <v>91787</v>
      </c>
      <c r="F51" s="17"/>
      <c r="G51" s="17"/>
      <c r="H51" s="17"/>
      <c r="I51" s="18">
        <f t="shared" si="1"/>
        <v>91787</v>
      </c>
    </row>
    <row r="52" spans="2:9" ht="12.75">
      <c r="B52" s="13" t="s">
        <v>94</v>
      </c>
      <c r="C52" s="16" t="s">
        <v>95</v>
      </c>
      <c r="D52" s="17">
        <v>34545</v>
      </c>
      <c r="E52" s="17">
        <v>56477</v>
      </c>
      <c r="F52" s="17"/>
      <c r="G52" s="17"/>
      <c r="H52" s="17"/>
      <c r="I52" s="18">
        <f t="shared" si="1"/>
        <v>56477</v>
      </c>
    </row>
    <row r="53" spans="2:9" ht="12.75">
      <c r="B53" s="13" t="s">
        <v>96</v>
      </c>
      <c r="C53" s="16" t="s">
        <v>97</v>
      </c>
      <c r="D53" s="17">
        <v>93844</v>
      </c>
      <c r="E53" s="17">
        <v>119967</v>
      </c>
      <c r="F53" s="17"/>
      <c r="G53" s="17"/>
      <c r="H53" s="17"/>
      <c r="I53" s="18">
        <f t="shared" si="1"/>
        <v>119967</v>
      </c>
    </row>
    <row r="54" spans="2:9" ht="12.75">
      <c r="B54" s="13" t="s">
        <v>98</v>
      </c>
      <c r="C54" s="16" t="s">
        <v>99</v>
      </c>
      <c r="D54" s="17">
        <v>25644</v>
      </c>
      <c r="E54" s="17">
        <v>28756</v>
      </c>
      <c r="F54" s="17"/>
      <c r="G54" s="17"/>
      <c r="H54" s="17"/>
      <c r="I54" s="18">
        <f t="shared" si="1"/>
        <v>28756</v>
      </c>
    </row>
    <row r="55" spans="2:9" ht="12.75">
      <c r="B55" s="13" t="s">
        <v>100</v>
      </c>
      <c r="C55" s="16" t="s">
        <v>101</v>
      </c>
      <c r="D55" s="17">
        <v>83341</v>
      </c>
      <c r="E55" s="17">
        <v>63222</v>
      </c>
      <c r="F55" s="17"/>
      <c r="G55" s="17"/>
      <c r="H55" s="17"/>
      <c r="I55" s="18">
        <f t="shared" si="1"/>
        <v>63222</v>
      </c>
    </row>
    <row r="56" spans="2:9" ht="12.75">
      <c r="B56" s="13" t="s">
        <v>102</v>
      </c>
      <c r="C56" s="16" t="s">
        <v>103</v>
      </c>
      <c r="D56" s="17">
        <v>37644</v>
      </c>
      <c r="E56" s="17">
        <v>45333</v>
      </c>
      <c r="F56" s="17"/>
      <c r="G56" s="17"/>
      <c r="H56" s="17"/>
      <c r="I56" s="18">
        <f t="shared" si="1"/>
        <v>45333</v>
      </c>
    </row>
    <row r="57" spans="2:9" ht="12.75">
      <c r="B57" s="13" t="s">
        <v>104</v>
      </c>
      <c r="C57" s="16" t="s">
        <v>105</v>
      </c>
      <c r="D57" s="17">
        <v>68743</v>
      </c>
      <c r="E57" s="17">
        <v>77434</v>
      </c>
      <c r="F57" s="17"/>
      <c r="G57" s="17"/>
      <c r="H57" s="17"/>
      <c r="I57" s="18">
        <f t="shared" si="1"/>
        <v>77434</v>
      </c>
    </row>
    <row r="58" spans="2:9" ht="12.75">
      <c r="B58" s="13" t="s">
        <v>106</v>
      </c>
      <c r="C58" s="16" t="s">
        <v>107</v>
      </c>
      <c r="D58" s="17">
        <v>71342</v>
      </c>
      <c r="E58" s="17">
        <v>122467</v>
      </c>
      <c r="F58" s="17"/>
      <c r="G58" s="17"/>
      <c r="H58" s="17"/>
      <c r="I58" s="18">
        <f t="shared" si="1"/>
        <v>122467</v>
      </c>
    </row>
    <row r="59" spans="2:9" ht="12.75">
      <c r="B59" s="13" t="s">
        <v>108</v>
      </c>
      <c r="C59" s="16" t="s">
        <v>109</v>
      </c>
      <c r="D59" s="17">
        <v>3245</v>
      </c>
      <c r="E59" s="17">
        <v>3002</v>
      </c>
      <c r="F59" s="17"/>
      <c r="G59" s="17"/>
      <c r="H59" s="17"/>
      <c r="I59" s="18">
        <f t="shared" si="1"/>
        <v>3002</v>
      </c>
    </row>
    <row r="60" spans="2:9" ht="12.75">
      <c r="B60" s="13" t="s">
        <v>110</v>
      </c>
      <c r="C60" s="16" t="s">
        <v>111</v>
      </c>
      <c r="D60" s="17">
        <v>331165</v>
      </c>
      <c r="E60" s="17"/>
      <c r="F60" s="17"/>
      <c r="G60" s="17"/>
      <c r="H60" s="17"/>
      <c r="I60" s="18">
        <f t="shared" si="1"/>
        <v>0</v>
      </c>
    </row>
    <row r="61" spans="2:9" ht="12.75">
      <c r="B61" s="17"/>
      <c r="C61" s="20" t="s">
        <v>112</v>
      </c>
      <c r="D61" s="17">
        <f>SUM(D36:D60)</f>
        <v>0</v>
      </c>
      <c r="E61" s="17">
        <f>SUM(E36:E60)</f>
        <v>-458437</v>
      </c>
      <c r="F61" s="17"/>
      <c r="G61" s="17">
        <f>SUM(G12:G60)</f>
        <v>0</v>
      </c>
      <c r="H61" s="17">
        <f>SUM(H12:H60)</f>
        <v>0</v>
      </c>
      <c r="I61" s="18">
        <f>SUM(I36:I60)</f>
        <v>-458437</v>
      </c>
    </row>
    <row r="62" spans="2:9" ht="12.75">
      <c r="B62" s="17"/>
      <c r="C62" s="20" t="s">
        <v>113</v>
      </c>
      <c r="D62" s="17">
        <f>SUM($D$12:$D$33)</f>
        <v>0</v>
      </c>
      <c r="E62" s="17">
        <f>SUM($E$12:$E$33)</f>
        <v>458437</v>
      </c>
      <c r="F62" s="17"/>
      <c r="G62" s="17"/>
      <c r="H62" s="17"/>
      <c r="I62" s="18">
        <f>SUM($E$12:$E$33)</f>
        <v>458437</v>
      </c>
    </row>
    <row r="63" spans="2:9" ht="12.75">
      <c r="B63" s="17"/>
      <c r="C63" s="20" t="s">
        <v>114</v>
      </c>
      <c r="D63" s="17">
        <f>SUM(D61:D62)</f>
        <v>0</v>
      </c>
      <c r="E63" s="17">
        <f>SUM(E61:E62)</f>
        <v>0</v>
      </c>
      <c r="F63" s="17"/>
      <c r="G63" s="17"/>
      <c r="H63" s="17"/>
      <c r="I63" s="18">
        <f>SUM(I61:I62)</f>
        <v>0</v>
      </c>
    </row>
    <row r="64" spans="2:3" ht="12.75">
      <c r="B64" s="22"/>
      <c r="C64" s="22"/>
    </row>
    <row r="65" spans="2:3" ht="12.75">
      <c r="B65" s="22"/>
      <c r="C65" s="22"/>
    </row>
    <row r="66" spans="2:3" ht="12.75">
      <c r="B66" s="22"/>
      <c r="C66" s="22"/>
    </row>
    <row r="67" spans="2:3" ht="12.75">
      <c r="B67" s="22"/>
      <c r="C67" s="22"/>
    </row>
    <row r="68" spans="2:3" ht="12.75">
      <c r="B68" s="22"/>
      <c r="C68" s="22"/>
    </row>
    <row r="69" spans="2:3" ht="12.75">
      <c r="B69" s="22"/>
      <c r="C69" s="22"/>
    </row>
    <row r="70" spans="2:3" ht="12.75">
      <c r="B70" s="22"/>
      <c r="C70" s="22"/>
    </row>
    <row r="71" spans="2:3" ht="12.75">
      <c r="B71" s="22"/>
      <c r="C71" s="22"/>
    </row>
    <row r="72" spans="2:3" ht="12.75">
      <c r="B72" s="22"/>
      <c r="C72" s="22"/>
    </row>
    <row r="73" spans="2:3" ht="12.75">
      <c r="B73" s="22"/>
      <c r="C73" s="22"/>
    </row>
    <row r="74" spans="2:3" ht="12.75">
      <c r="B74" s="22"/>
      <c r="C74" s="22"/>
    </row>
    <row r="75" spans="2:3" ht="12.75">
      <c r="B75" s="22"/>
      <c r="C75" s="22"/>
    </row>
    <row r="76" spans="2:3" ht="12.75">
      <c r="B76" s="22"/>
      <c r="C76" s="22"/>
    </row>
    <row r="77" spans="2:3" ht="12.75">
      <c r="B77" s="22"/>
      <c r="C77" s="22"/>
    </row>
    <row r="78" spans="2:3" ht="12.75">
      <c r="B78" s="22"/>
      <c r="C78" s="22"/>
    </row>
    <row r="79" spans="2:3" ht="12.75">
      <c r="B79" s="22"/>
      <c r="C79" s="22"/>
    </row>
    <row r="80" spans="2:3" ht="12.75">
      <c r="B80" s="22"/>
      <c r="C80" s="22"/>
    </row>
    <row r="81" spans="2:3" ht="12.75">
      <c r="B81" s="22"/>
      <c r="C81" s="22"/>
    </row>
    <row r="82" spans="2:3" ht="12.75">
      <c r="B82" s="22"/>
      <c r="C82" s="22"/>
    </row>
    <row r="83" spans="2:3" ht="12.75">
      <c r="B83" s="22"/>
      <c r="C83" s="22"/>
    </row>
    <row r="84" spans="2:3" ht="12.75">
      <c r="B84" s="22"/>
      <c r="C84" s="22"/>
    </row>
    <row r="85" spans="2:3" ht="12.75">
      <c r="B85" s="22"/>
      <c r="C85" s="22"/>
    </row>
    <row r="86" spans="2:3" ht="12.75">
      <c r="B86" s="22"/>
      <c r="C86" s="22"/>
    </row>
    <row r="87" spans="2:3" ht="12.75">
      <c r="B87" s="22"/>
      <c r="C87" s="22"/>
    </row>
    <row r="88" spans="2:3" ht="12.75">
      <c r="B88" s="22"/>
      <c r="C88" s="22"/>
    </row>
    <row r="89" spans="2:3" ht="12.75">
      <c r="B89" s="22"/>
      <c r="C89" s="22"/>
    </row>
    <row r="101" ht="12.75">
      <c r="A101" s="3" t="s">
        <v>115</v>
      </c>
    </row>
    <row r="104" spans="2:4" ht="12.75">
      <c r="B104" s="3" t="s">
        <v>116</v>
      </c>
      <c r="C104" s="3" t="s">
        <v>117</v>
      </c>
      <c r="D104" s="23"/>
    </row>
    <row r="105" ht="12.75">
      <c r="D105" s="23"/>
    </row>
    <row r="106" ht="12.75">
      <c r="D106" s="23"/>
    </row>
    <row r="107" spans="2:7" ht="12.75">
      <c r="B107" s="3" t="s">
        <v>118</v>
      </c>
      <c r="C107" s="3" t="s">
        <v>119</v>
      </c>
      <c r="D107" s="3" t="s">
        <v>120</v>
      </c>
      <c r="E107" s="3" t="s">
        <v>121</v>
      </c>
      <c r="F107" s="3" t="s">
        <v>122</v>
      </c>
      <c r="G107" s="3" t="s">
        <v>123</v>
      </c>
    </row>
    <row r="108" spans="3:7" ht="12.75">
      <c r="C108" s="3" t="s">
        <v>124</v>
      </c>
      <c r="D108" s="3" t="s">
        <v>125</v>
      </c>
      <c r="E108" s="3" t="s">
        <v>126</v>
      </c>
      <c r="F108" s="3" t="s">
        <v>127</v>
      </c>
      <c r="G108" s="3" t="s">
        <v>128</v>
      </c>
    </row>
    <row r="109" spans="3:7" ht="12.75">
      <c r="C109" s="3" t="s">
        <v>129</v>
      </c>
      <c r="D109" s="3" t="s">
        <v>130</v>
      </c>
      <c r="E109" s="3" t="s">
        <v>131</v>
      </c>
      <c r="F109" s="3" t="s">
        <v>132</v>
      </c>
      <c r="G109" s="3" t="s">
        <v>133</v>
      </c>
    </row>
    <row r="110" spans="3:6" ht="12.75">
      <c r="C110" s="3" t="s">
        <v>134</v>
      </c>
      <c r="D110" s="3" t="s">
        <v>134</v>
      </c>
      <c r="F110" s="3" t="s">
        <v>134</v>
      </c>
    </row>
  </sheetData>
  <printOptions/>
  <pageMargins left="0.7" right="0.4" top="0.5" bottom="0.5" header="0.5" footer="0.5"/>
  <pageSetup horizontalDpi="600" verticalDpi="600" orientation="portrait" r:id="rId1"/>
  <headerFooter alignWithMargins="0">
    <oddFooter>&amp;CKcnplan.xlw&amp;RPage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2:M103"/>
  <sheetViews>
    <sheetView showGridLines="0" workbookViewId="0" topLeftCell="A5">
      <selection activeCell="I10" sqref="I10"/>
    </sheetView>
  </sheetViews>
  <sheetFormatPr defaultColWidth="9.7109375" defaultRowHeight="12.75"/>
  <cols>
    <col min="1" max="1" width="2.421875" style="0" customWidth="1"/>
    <col min="2" max="2" width="1.7109375" style="0" customWidth="1"/>
    <col min="3" max="3" width="26.00390625" style="0" customWidth="1"/>
    <col min="4" max="4" width="1.7109375" style="0" customWidth="1"/>
    <col min="5" max="5" width="10.57421875" style="0" customWidth="1"/>
    <col min="6" max="6" width="1.421875" style="0" customWidth="1"/>
    <col min="7" max="7" width="7.421875" style="0" customWidth="1"/>
    <col min="8" max="8" width="2.7109375" style="0" customWidth="1"/>
    <col min="9" max="9" width="10.7109375" style="0" customWidth="1"/>
    <col min="10" max="10" width="0.9921875" style="0" customWidth="1"/>
    <col min="11" max="11" width="8.00390625" style="0" customWidth="1"/>
    <col min="12" max="12" width="3.7109375" style="0" customWidth="1"/>
    <col min="13" max="13" width="7.7109375" style="0" customWidth="1"/>
    <col min="14" max="14" width="1.7109375" style="0" customWidth="1"/>
  </cols>
  <sheetData>
    <row r="2" spans="2:13" ht="12.75"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2:13" ht="12.75">
      <c r="B3" s="5" t="s">
        <v>135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2:13" ht="12.75">
      <c r="B4" s="5" t="s">
        <v>136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ht="12.75">
      <c r="M5" s="24" t="s">
        <v>137</v>
      </c>
    </row>
    <row r="6" spans="2:13" ht="12.75">
      <c r="B6" s="5" t="s">
        <v>138</v>
      </c>
      <c r="C6" s="6"/>
      <c r="E6" s="5" t="s">
        <v>8</v>
      </c>
      <c r="F6" s="6"/>
      <c r="G6" s="6"/>
      <c r="I6" s="5" t="s">
        <v>139</v>
      </c>
      <c r="J6" s="6"/>
      <c r="K6" s="6"/>
      <c r="M6" s="24" t="s">
        <v>140</v>
      </c>
    </row>
    <row r="8" ht="12.75">
      <c r="B8" s="3" t="s">
        <v>141</v>
      </c>
    </row>
    <row r="9" spans="3:13" ht="12.75">
      <c r="C9" s="3" t="s">
        <v>142</v>
      </c>
      <c r="D9" s="3" t="s">
        <v>143</v>
      </c>
      <c r="E9" s="25">
        <f>'Working Trial Balance'!I12+'Working Trial Balance'!I13</f>
        <v>47353</v>
      </c>
      <c r="G9" s="26">
        <f aca="true" t="shared" si="0" ref="G9:G15">E9/$E$25</f>
        <v>0.02006347877409954</v>
      </c>
      <c r="H9" s="26"/>
      <c r="I9">
        <f>'Working Trial Balance'!D12+'Working Trial Balance'!D13</f>
        <v>27089</v>
      </c>
      <c r="K9" s="26">
        <f aca="true" t="shared" si="1" ref="K9:K15">I9/$I$25</f>
        <v>0.01475019575087203</v>
      </c>
      <c r="M9" s="26">
        <f aca="true" t="shared" si="2" ref="M9:M15">IF(I9=0,"",(E9-I9)/I9)</f>
        <v>0.7480527151242201</v>
      </c>
    </row>
    <row r="10" spans="3:13" ht="12.75">
      <c r="C10" s="3" t="s">
        <v>144</v>
      </c>
      <c r="E10">
        <f>'Working Trial Balance'!I14</f>
        <v>1023545</v>
      </c>
      <c r="G10" s="26">
        <f t="shared" si="0"/>
        <v>0.4336762904533127</v>
      </c>
      <c r="H10" s="26"/>
      <c r="I10">
        <f>'Working Trial Balance'!D14</f>
        <v>853452</v>
      </c>
      <c r="K10" s="26">
        <f t="shared" si="1"/>
        <v>0.46471202569209774</v>
      </c>
      <c r="M10" s="26">
        <f t="shared" si="2"/>
        <v>0.19930001921607776</v>
      </c>
    </row>
    <row r="11" spans="3:13" ht="12.75">
      <c r="C11" s="3" t="s">
        <v>145</v>
      </c>
      <c r="E11">
        <f>'Working Trial Balance'!I16</f>
        <v>-10400</v>
      </c>
      <c r="G11" s="26">
        <f t="shared" si="0"/>
        <v>-0.004406482783575174</v>
      </c>
      <c r="H11" s="26"/>
      <c r="I11">
        <f>'Working Trial Balance'!D16</f>
        <v>-9600</v>
      </c>
      <c r="K11" s="26">
        <f t="shared" si="1"/>
        <v>-0.005227283369942467</v>
      </c>
      <c r="M11" s="26">
        <f t="shared" si="2"/>
        <v>0.08333333333333333</v>
      </c>
    </row>
    <row r="12" spans="3:13" ht="12.75">
      <c r="C12" s="3" t="s">
        <v>146</v>
      </c>
      <c r="E12">
        <f>'Working Trial Balance'!I15</f>
        <v>84670</v>
      </c>
      <c r="G12" s="26">
        <f t="shared" si="0"/>
        <v>0.03587470166204904</v>
      </c>
      <c r="H12" s="26"/>
      <c r="I12">
        <f>'Working Trial Balance'!D15</f>
        <v>57643</v>
      </c>
      <c r="K12" s="26">
        <f t="shared" si="1"/>
        <v>0.03138711409308267</v>
      </c>
      <c r="M12" s="26">
        <f t="shared" si="2"/>
        <v>0.4688687264715577</v>
      </c>
    </row>
    <row r="13" spans="3:13" ht="12.75">
      <c r="C13" s="3" t="s">
        <v>147</v>
      </c>
      <c r="E13">
        <f>'Working Trial Balance'!I17</f>
        <v>903766</v>
      </c>
      <c r="G13" s="26">
        <f t="shared" si="0"/>
        <v>0.38292589609428856</v>
      </c>
      <c r="H13" s="26"/>
      <c r="I13">
        <f>'Working Trial Balance'!D17</f>
        <v>694744</v>
      </c>
      <c r="K13" s="26">
        <f t="shared" si="1"/>
        <v>0.3782941414132614</v>
      </c>
      <c r="M13" s="26">
        <f t="shared" si="2"/>
        <v>0.3008619002107251</v>
      </c>
    </row>
    <row r="14" spans="3:13" ht="12.75">
      <c r="C14" s="3" t="s">
        <v>30</v>
      </c>
      <c r="E14" s="27">
        <f>'Working Trial Balance'!I18</f>
        <v>42555</v>
      </c>
      <c r="G14" s="26">
        <f t="shared" si="0"/>
        <v>0.01803056488990784</v>
      </c>
      <c r="H14" s="26"/>
      <c r="I14" s="27">
        <f>'Working Trial Balance'!D18</f>
        <v>40640</v>
      </c>
      <c r="K14" s="26">
        <f t="shared" si="1"/>
        <v>0.022128832932756446</v>
      </c>
      <c r="M14" s="26">
        <f t="shared" si="2"/>
        <v>0.047121062992125984</v>
      </c>
    </row>
    <row r="15" spans="3:13" ht="12.75">
      <c r="C15" s="3" t="s">
        <v>148</v>
      </c>
      <c r="D15" s="3" t="s">
        <v>143</v>
      </c>
      <c r="E15">
        <f>SUM(E9:E14)</f>
        <v>2091489</v>
      </c>
      <c r="G15" s="26">
        <f t="shared" si="0"/>
        <v>0.8861644490900825</v>
      </c>
      <c r="H15" s="26"/>
      <c r="I15">
        <f>SUM(I9:I14)</f>
        <v>1663968</v>
      </c>
      <c r="K15" s="26">
        <f t="shared" si="1"/>
        <v>0.9060450265121278</v>
      </c>
      <c r="M15" s="26">
        <f t="shared" si="2"/>
        <v>0.25692861881959267</v>
      </c>
    </row>
    <row r="17" ht="12.75">
      <c r="B17" s="3" t="s">
        <v>149</v>
      </c>
    </row>
    <row r="18" spans="3:13" ht="12.75">
      <c r="C18" s="3" t="s">
        <v>150</v>
      </c>
      <c r="E18">
        <f>'Working Trial Balance'!I19+'Working Trial Balance'!I20</f>
        <v>347083</v>
      </c>
      <c r="G18" s="26">
        <f aca="true" t="shared" si="3" ref="G18:G23">E18/$E$25</f>
        <v>0.14705915999727137</v>
      </c>
      <c r="I18">
        <f>'Working Trial Balance'!D19+'Working Trial Balance'!D20</f>
        <v>280881</v>
      </c>
      <c r="K18" s="26">
        <f>I18/$I$25</f>
        <v>0.15294214377425105</v>
      </c>
      <c r="M18" s="26">
        <f aca="true" t="shared" si="4" ref="M18:M25">IF(I18=0,"",(E18-I18)/I18)</f>
        <v>0.23569411957376968</v>
      </c>
    </row>
    <row r="19" spans="3:13" ht="12.75">
      <c r="C19" s="3" t="s">
        <v>36</v>
      </c>
      <c r="E19" s="27">
        <f>'Working Trial Balance'!I21</f>
        <v>17645</v>
      </c>
      <c r="G19" s="26">
        <f t="shared" si="3"/>
        <v>0.0074761912227099955</v>
      </c>
      <c r="I19" s="27">
        <f>'Working Trial Balance'!D21</f>
        <v>17645</v>
      </c>
      <c r="K19" s="26">
        <f>I19/$I$25</f>
        <v>0.009607855735691128</v>
      </c>
      <c r="M19" s="26">
        <f t="shared" si="4"/>
        <v>0</v>
      </c>
    </row>
    <row r="20" spans="5:13" ht="12.75">
      <c r="E20">
        <f>SUM(E18:E19)</f>
        <v>364728</v>
      </c>
      <c r="G20" s="26">
        <f t="shared" si="3"/>
        <v>0.15453535121998135</v>
      </c>
      <c r="I20">
        <f>SUM(I18:I19)</f>
        <v>298526</v>
      </c>
      <c r="K20" s="26">
        <f>I20/$I$25</f>
        <v>0.16254999950994217</v>
      </c>
      <c r="M20" s="26">
        <f t="shared" si="4"/>
        <v>0.22176292852213877</v>
      </c>
    </row>
    <row r="21" spans="3:13" ht="12.75">
      <c r="C21" s="3" t="s">
        <v>151</v>
      </c>
      <c r="E21" s="27">
        <f>'Working Trial Balance'!I22</f>
        <v>-154732</v>
      </c>
      <c r="G21" s="26">
        <f t="shared" si="3"/>
        <v>-0.06555998981424556</v>
      </c>
      <c r="I21" s="27">
        <f>'Working Trial Balance'!D22</f>
        <v>-125976</v>
      </c>
      <c r="K21" s="26">
        <f>I21/$I$25</f>
        <v>-0.06859502602207003</v>
      </c>
      <c r="M21" s="26">
        <f t="shared" si="4"/>
        <v>0.22826570140344193</v>
      </c>
    </row>
    <row r="22" spans="5:13" ht="12.75">
      <c r="E22">
        <f>E20+E21</f>
        <v>209996</v>
      </c>
      <c r="G22" s="26">
        <f t="shared" si="3"/>
        <v>0.0889753614057358</v>
      </c>
      <c r="I22">
        <f>I20+I21</f>
        <v>172550</v>
      </c>
      <c r="K22" s="26">
        <f>I22/$I$25</f>
        <v>0.09395497348787216</v>
      </c>
      <c r="M22" s="26">
        <f t="shared" si="4"/>
        <v>0.21701535786728485</v>
      </c>
    </row>
    <row r="23" spans="2:13" ht="12.75">
      <c r="B23" s="3" t="s">
        <v>40</v>
      </c>
      <c r="E23">
        <f>'Working Trial Balance'!I23</f>
        <v>58674</v>
      </c>
      <c r="G23" s="26">
        <f t="shared" si="3"/>
        <v>0.024860189504181708</v>
      </c>
      <c r="M23" s="26">
        <f t="shared" si="4"/>
      </c>
    </row>
    <row r="24" spans="5:13" ht="12.75">
      <c r="E24" s="27"/>
      <c r="I24" s="27"/>
      <c r="M24" s="26">
        <f t="shared" si="4"/>
      </c>
    </row>
    <row r="25" spans="4:13" ht="13.5" thickBot="1">
      <c r="D25" s="3" t="s">
        <v>143</v>
      </c>
      <c r="E25" s="2">
        <f>E15+E22+E23</f>
        <v>2360159</v>
      </c>
      <c r="G25" s="26">
        <f>E25/$E$25</f>
        <v>1</v>
      </c>
      <c r="I25" s="2">
        <f>I15+I22+I23</f>
        <v>1836518</v>
      </c>
      <c r="K25" s="26">
        <f>I25/$I$25</f>
        <v>1</v>
      </c>
      <c r="M25" s="26">
        <f t="shared" si="4"/>
        <v>0.2851270719916712</v>
      </c>
    </row>
    <row r="26" ht="13.5" thickTop="1"/>
    <row r="27" ht="12.75">
      <c r="B27" s="28" t="s">
        <v>152</v>
      </c>
    </row>
    <row r="29" ht="12.75">
      <c r="B29" s="3" t="s">
        <v>153</v>
      </c>
    </row>
    <row r="30" spans="3:13" ht="12.75">
      <c r="C30" s="3" t="s">
        <v>50</v>
      </c>
      <c r="E30">
        <f>-'Working Trial Balance'!I28</f>
        <v>365867</v>
      </c>
      <c r="G30" s="26">
        <f>E30/$E$25</f>
        <v>0.15501794582483638</v>
      </c>
      <c r="I30">
        <f>-'Working Trial Balance'!D28</f>
        <v>309346</v>
      </c>
      <c r="K30" s="26">
        <f>I30/$I$25</f>
        <v>0.16844158347481483</v>
      </c>
      <c r="M30" s="26">
        <f aca="true" t="shared" si="5" ref="M30:M36">IF(I30=0,"",(E30-I30)/I30)</f>
        <v>0.182711268288583</v>
      </c>
    </row>
    <row r="31" spans="3:13" ht="12.75">
      <c r="C31" s="3" t="s">
        <v>154</v>
      </c>
      <c r="E31">
        <f>-'Working Trial Balance'!I24</f>
        <v>586699</v>
      </c>
      <c r="G31" s="26">
        <f>E31/$E$25</f>
        <v>0.24858452333084338</v>
      </c>
      <c r="I31">
        <f>-'Working Trial Balance'!D24</f>
        <v>504641</v>
      </c>
      <c r="K31" s="26">
        <f>I31/$I$25</f>
        <v>0.27478140698866005</v>
      </c>
      <c r="M31" s="26">
        <f t="shared" si="5"/>
        <v>0.16260668475213072</v>
      </c>
    </row>
    <row r="32" spans="3:13" ht="12.75">
      <c r="C32" s="3" t="s">
        <v>155</v>
      </c>
      <c r="M32" s="26">
        <f t="shared" si="5"/>
      </c>
    </row>
    <row r="33" spans="3:13" ht="12.75">
      <c r="C33" s="3" t="s">
        <v>156</v>
      </c>
      <c r="E33">
        <f>-'Working Trial Balance'!I25</f>
        <v>21050</v>
      </c>
      <c r="G33" s="26">
        <f>E33/$E$25</f>
        <v>0.008918890634063214</v>
      </c>
      <c r="I33">
        <f>-'Working Trial Balance'!D25</f>
        <v>20183</v>
      </c>
      <c r="K33" s="26">
        <f>I33/$I$25</f>
        <v>0.010989818776619668</v>
      </c>
      <c r="M33" s="26">
        <f t="shared" si="5"/>
        <v>0.04295694396274092</v>
      </c>
    </row>
    <row r="34" spans="3:13" ht="12.75">
      <c r="C34" s="3" t="s">
        <v>48</v>
      </c>
      <c r="E34">
        <f>-'Working Trial Balance'!I27</f>
        <v>22100</v>
      </c>
      <c r="G34" s="26">
        <f>E34/$E$25</f>
        <v>0.009363775915097246</v>
      </c>
      <c r="K34" s="26">
        <f>I34/$I$25</f>
        <v>0</v>
      </c>
      <c r="M34" s="26">
        <f t="shared" si="5"/>
      </c>
    </row>
    <row r="35" spans="3:13" ht="12.75">
      <c r="C35" s="3" t="s">
        <v>157</v>
      </c>
      <c r="E35" s="27">
        <f>-'Working Trial Balance'!I26</f>
        <v>130040</v>
      </c>
      <c r="G35" s="26">
        <f>E35/$E$25</f>
        <v>0.05509798280539574</v>
      </c>
      <c r="I35" s="27">
        <f>-'Working Trial Balance'!D26</f>
        <v>115332</v>
      </c>
      <c r="K35" s="26">
        <f>I35/$I$25</f>
        <v>0.06279927558564631</v>
      </c>
      <c r="M35" s="26">
        <f t="shared" si="5"/>
        <v>0.12752748586688864</v>
      </c>
    </row>
    <row r="36" spans="3:13" ht="12.75">
      <c r="C36" s="3" t="s">
        <v>158</v>
      </c>
      <c r="D36" s="3" t="s">
        <v>143</v>
      </c>
      <c r="E36">
        <f>SUM(E30:E35)</f>
        <v>1125756</v>
      </c>
      <c r="G36" s="26">
        <f>E36/$E$25</f>
        <v>0.47698311851023595</v>
      </c>
      <c r="I36">
        <f>SUM(I30:I35)</f>
        <v>949502</v>
      </c>
      <c r="K36" s="26">
        <f>I36/$I$25</f>
        <v>0.5170120848257409</v>
      </c>
      <c r="M36" s="26">
        <f t="shared" si="5"/>
        <v>0.18562783438054897</v>
      </c>
    </row>
    <row r="39" spans="2:13" ht="12.75">
      <c r="B39" s="3" t="s">
        <v>159</v>
      </c>
      <c r="E39">
        <f>-'Working Trial Balance'!I29-'Working Trial Balance'!I25</f>
        <v>135465</v>
      </c>
      <c r="G39" s="26">
        <f>E39/$E$25</f>
        <v>0.057396556757404904</v>
      </c>
      <c r="I39">
        <f>-'Working Trial Balance'!D29-'Working Trial Balance'!D25</f>
        <v>155648</v>
      </c>
      <c r="K39" s="26">
        <f>I39/$I$25</f>
        <v>0.0847516877046672</v>
      </c>
      <c r="M39" s="26">
        <f>IF(I39=0,"",(E39-I39)/I39)</f>
        <v>-0.12967079564144737</v>
      </c>
    </row>
    <row r="40" spans="3:13" ht="12.75">
      <c r="C40" s="3" t="s">
        <v>160</v>
      </c>
      <c r="E40">
        <f>'Working Trial Balance'!I25</f>
        <v>-21050</v>
      </c>
      <c r="G40" s="26">
        <f>E40/$E$25</f>
        <v>-0.008918890634063214</v>
      </c>
      <c r="I40">
        <f>'Working Trial Balance'!D25</f>
        <v>-20183</v>
      </c>
      <c r="K40" s="26">
        <f>I40/$I$25</f>
        <v>-0.010989818776619668</v>
      </c>
      <c r="M40" s="26">
        <f>IF(I40=0,"",(E40-I40)/I40)</f>
        <v>0.04295694396274092</v>
      </c>
    </row>
    <row r="42" spans="3:13" ht="12.75">
      <c r="C42" s="3" t="s">
        <v>161</v>
      </c>
      <c r="D42" s="3" t="s">
        <v>143</v>
      </c>
      <c r="E42">
        <f>SUM(E36:E40)</f>
        <v>1240171</v>
      </c>
      <c r="G42" s="26">
        <f>E42/$E$25</f>
        <v>0.5254607846335777</v>
      </c>
      <c r="I42">
        <f>SUM(I36:I40)</f>
        <v>1084967</v>
      </c>
      <c r="K42" s="26">
        <f>I42/$I$25</f>
        <v>0.5907739537537884</v>
      </c>
      <c r="M42" s="26">
        <f>IF(I42=0,"",(E42-I42)/I42)</f>
        <v>0.14304951210497646</v>
      </c>
    </row>
    <row r="44" ht="12.75">
      <c r="B44" s="3" t="s">
        <v>162</v>
      </c>
    </row>
    <row r="45" spans="3:13" ht="12.75">
      <c r="C45" s="3" t="s">
        <v>163</v>
      </c>
      <c r="E45">
        <f>-'Working Trial Balance'!I30</f>
        <v>20000</v>
      </c>
      <c r="G45" s="26">
        <f>E45/$E$25</f>
        <v>0.008474005353029182</v>
      </c>
      <c r="I45">
        <f>-'Working Trial Balance'!D30</f>
        <v>20000</v>
      </c>
      <c r="K45" s="26">
        <f>I45/$I$25</f>
        <v>0.01089017368738014</v>
      </c>
      <c r="M45" s="26">
        <f>IF(I45=0,"",(E45-I45)/I45)</f>
        <v>0</v>
      </c>
    </row>
    <row r="46" spans="3:13" ht="12.75">
      <c r="C46" s="3" t="s">
        <v>164</v>
      </c>
      <c r="E46">
        <f>-'Working Trial Balance'!I31</f>
        <v>41647</v>
      </c>
      <c r="G46" s="26">
        <f>E46/$E$25</f>
        <v>0.017645845046880316</v>
      </c>
      <c r="I46">
        <f>-'Working Trial Balance'!D31</f>
        <v>41647</v>
      </c>
      <c r="K46" s="26">
        <f>I46/$I$25</f>
        <v>0.022677153177916035</v>
      </c>
      <c r="M46" s="26">
        <f>IF(I46=0,"",(E46-I46)/I46)</f>
        <v>0</v>
      </c>
    </row>
    <row r="47" spans="3:13" ht="12.75">
      <c r="C47" s="3" t="s">
        <v>58</v>
      </c>
      <c r="E47" s="27">
        <f>E103</f>
        <v>1058341</v>
      </c>
      <c r="G47" s="26">
        <f>E47/$E$25</f>
        <v>0.44841936496651286</v>
      </c>
      <c r="I47" s="27">
        <f>I103</f>
        <v>689904</v>
      </c>
      <c r="K47" s="26">
        <f>I47/$I$25</f>
        <v>0.3756587193809154</v>
      </c>
      <c r="M47" s="26">
        <f>IF(I47=0,"",(E47-I47)/I47)</f>
        <v>0.5340409680187388</v>
      </c>
    </row>
    <row r="48" spans="4:13" ht="12.75">
      <c r="D48" s="3" t="s">
        <v>143</v>
      </c>
      <c r="E48" s="27">
        <f>SUM(E45:E47)</f>
        <v>1119988</v>
      </c>
      <c r="G48" s="26">
        <f>E48/$E$25</f>
        <v>0.47453921536642235</v>
      </c>
      <c r="I48" s="27">
        <f>SUM(I45:I47)</f>
        <v>751551</v>
      </c>
      <c r="K48" s="26">
        <f>I48/$I$25</f>
        <v>0.40922604624621156</v>
      </c>
      <c r="M48" s="26">
        <f>IF(I48=0,"",(E48-I48)/I48)</f>
        <v>0.49023552626501726</v>
      </c>
    </row>
    <row r="49" spans="4:13" ht="13.5" thickBot="1">
      <c r="D49" s="3" t="s">
        <v>143</v>
      </c>
      <c r="E49" s="2">
        <f>E42+E48</f>
        <v>2360159</v>
      </c>
      <c r="G49" s="26">
        <f>E49/$E$25</f>
        <v>1</v>
      </c>
      <c r="I49" s="2">
        <f>I42+I48</f>
        <v>1836518</v>
      </c>
      <c r="K49" s="26">
        <f>I49/$I$25</f>
        <v>1</v>
      </c>
      <c r="M49" s="26">
        <f>IF(I49=0,"",(E49-I49)/I49)</f>
        <v>0.2851270719916712</v>
      </c>
    </row>
    <row r="50" ht="13.5" thickTop="1"/>
    <row r="56" spans="2:13" ht="12.75">
      <c r="B56" s="5" t="s">
        <v>2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  <row r="57" spans="2:13" ht="12.75">
      <c r="B57" s="5" t="s">
        <v>165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</row>
    <row r="58" spans="2:13" ht="12.75">
      <c r="B58" s="5" t="s">
        <v>166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</row>
    <row r="59" spans="2:13" ht="12.75">
      <c r="B59" s="29"/>
      <c r="M59" s="24" t="s">
        <v>137</v>
      </c>
    </row>
    <row r="60" spans="5:13" ht="12.75">
      <c r="E60" s="24" t="s">
        <v>8</v>
      </c>
      <c r="I60" s="24" t="s">
        <v>139</v>
      </c>
      <c r="M60" s="24" t="s">
        <v>140</v>
      </c>
    </row>
    <row r="62" spans="2:13" ht="12.75">
      <c r="B62" s="3" t="s">
        <v>167</v>
      </c>
      <c r="D62" s="3" t="s">
        <v>143</v>
      </c>
      <c r="E62">
        <f>-'Working Trial Balance'!I36-'Working Trial Balance'!I37-'Working Trial Balance'!I38</f>
        <v>11602506</v>
      </c>
      <c r="G62" s="26">
        <f>E62/$E$62</f>
        <v>1</v>
      </c>
      <c r="I62">
        <f>-'Working Trial Balance'!D36-'Working Trial Balance'!D37-'Working Trial Balance'!D38</f>
        <v>10227474</v>
      </c>
      <c r="K62" s="26">
        <f>I62/$I$62</f>
        <v>1</v>
      </c>
      <c r="M62" s="26">
        <f>IF(I62=0,"",(E62-I62)/I62)</f>
        <v>0.13444492745716097</v>
      </c>
    </row>
    <row r="63" spans="2:13" ht="12.75">
      <c r="B63" s="3" t="s">
        <v>168</v>
      </c>
      <c r="E63" s="27">
        <f>'Working Trial Balance'!I39</f>
        <v>7397368</v>
      </c>
      <c r="G63" s="26">
        <f>E63/$E$62</f>
        <v>0.6375664016032399</v>
      </c>
      <c r="I63" s="27">
        <f>'Working Trial Balance'!D39</f>
        <v>6867473</v>
      </c>
      <c r="K63" s="26">
        <f>I63/$I$62</f>
        <v>0.6714730342995738</v>
      </c>
      <c r="M63" s="26">
        <f>IF(I63=0,"",(E63-I63)/I63)</f>
        <v>0.07716011406233414</v>
      </c>
    </row>
    <row r="64" spans="3:13" ht="12.75">
      <c r="C64" s="3" t="s">
        <v>169</v>
      </c>
      <c r="D64" s="3" t="s">
        <v>143</v>
      </c>
      <c r="E64">
        <f>E62-E63</f>
        <v>4205138</v>
      </c>
      <c r="G64" s="26">
        <f>E64/$E$62</f>
        <v>0.36243359839676015</v>
      </c>
      <c r="I64">
        <f>I62-I63</f>
        <v>3360001</v>
      </c>
      <c r="K64" s="26">
        <f>I64/$I$62</f>
        <v>0.3285269657004261</v>
      </c>
      <c r="M64" s="26">
        <f>IF(I64=0,"",(E64-I64)/I64)</f>
        <v>0.2515287941878589</v>
      </c>
    </row>
    <row r="66" ht="12.75">
      <c r="B66" s="3" t="s">
        <v>170</v>
      </c>
    </row>
    <row r="67" spans="3:13" ht="12.75">
      <c r="C67" s="3" t="s">
        <v>171</v>
      </c>
      <c r="E67">
        <f>'Working Trial Balance'!I40</f>
        <v>583438</v>
      </c>
      <c r="G67" s="26">
        <f aca="true" t="shared" si="6" ref="G67:G72">E67/$E$62</f>
        <v>0.050285515904926054</v>
      </c>
      <c r="I67">
        <f>'Working Trial Balance'!D40</f>
        <v>513040</v>
      </c>
      <c r="K67" s="26">
        <f aca="true" t="shared" si="7" ref="K67:K72">I67/$I$62</f>
        <v>0.05016292390476867</v>
      </c>
      <c r="M67" s="26">
        <f aca="true" t="shared" si="8" ref="M67:M72">IF(I67=0,"",(E67-I67)/I67)</f>
        <v>0.13721737096522688</v>
      </c>
    </row>
    <row r="68" spans="3:13" ht="12.75">
      <c r="C68" s="3" t="s">
        <v>172</v>
      </c>
      <c r="E68">
        <f>'Working Trial Balance'!I41</f>
        <v>125354</v>
      </c>
      <c r="G68" s="26">
        <f t="shared" si="6"/>
        <v>0.010804045264014515</v>
      </c>
      <c r="I68">
        <f>'Working Trial Balance'!D41</f>
        <v>97478</v>
      </c>
      <c r="K68" s="26">
        <f t="shared" si="7"/>
        <v>0.009530994652247465</v>
      </c>
      <c r="M68" s="26">
        <f t="shared" si="8"/>
        <v>0.2859722193725764</v>
      </c>
    </row>
    <row r="69" spans="3:13" ht="12.75">
      <c r="C69" s="3" t="s">
        <v>173</v>
      </c>
      <c r="E69">
        <f>'Working Trial Balance'!I42</f>
        <v>92645</v>
      </c>
      <c r="G69" s="26">
        <f t="shared" si="6"/>
        <v>0.007984912914503126</v>
      </c>
      <c r="I69">
        <f>'Working Trial Balance'!D42</f>
        <v>81644</v>
      </c>
      <c r="K69" s="26">
        <f t="shared" si="7"/>
        <v>0.007982811787152917</v>
      </c>
      <c r="M69" s="26">
        <f t="shared" si="8"/>
        <v>0.13474352065062956</v>
      </c>
    </row>
    <row r="70" spans="3:13" ht="12.75">
      <c r="C70" s="3" t="s">
        <v>174</v>
      </c>
      <c r="E70">
        <f>'Working Trial Balance'!I43</f>
        <v>44655</v>
      </c>
      <c r="G70" s="26">
        <f t="shared" si="6"/>
        <v>0.0038487375055009667</v>
      </c>
      <c r="I70">
        <f>'Working Trial Balance'!D43</f>
        <v>37628</v>
      </c>
      <c r="K70" s="26">
        <f t="shared" si="7"/>
        <v>0.0036791098173410168</v>
      </c>
      <c r="M70" s="26">
        <f t="shared" si="8"/>
        <v>0.1867492292973318</v>
      </c>
    </row>
    <row r="71" spans="3:13" ht="12.75">
      <c r="C71" s="3" t="s">
        <v>175</v>
      </c>
      <c r="E71" s="27">
        <f>'Working Trial Balance'!I44</f>
        <v>21455</v>
      </c>
      <c r="G71" s="26">
        <f t="shared" si="6"/>
        <v>0.0018491694811448491</v>
      </c>
      <c r="I71" s="27">
        <f>'Working Trial Balance'!D44</f>
        <v>16322</v>
      </c>
      <c r="K71" s="26">
        <f t="shared" si="7"/>
        <v>0.0015958974816264505</v>
      </c>
      <c r="M71" s="26">
        <f t="shared" si="8"/>
        <v>0.3144835191765715</v>
      </c>
    </row>
    <row r="72" spans="4:13" ht="12.75">
      <c r="D72" s="3" t="s">
        <v>143</v>
      </c>
      <c r="E72">
        <f>SUM(E67:E71)</f>
        <v>867547</v>
      </c>
      <c r="G72" s="26">
        <f t="shared" si="6"/>
        <v>0.07477238107008952</v>
      </c>
      <c r="I72">
        <f>SUM(I67:I71)</f>
        <v>746112</v>
      </c>
      <c r="K72" s="26">
        <f t="shared" si="7"/>
        <v>0.07295173764313652</v>
      </c>
      <c r="M72" s="26">
        <f t="shared" si="8"/>
        <v>0.162757065963287</v>
      </c>
    </row>
    <row r="73" ht="12.75">
      <c r="B73" s="3" t="s">
        <v>176</v>
      </c>
    </row>
    <row r="74" spans="3:13" ht="12.75">
      <c r="C74" s="3" t="s">
        <v>177</v>
      </c>
      <c r="E74">
        <f>'Working Trial Balance'!I45</f>
        <v>983455</v>
      </c>
      <c r="G74" s="26">
        <f aca="true" t="shared" si="9" ref="G74:G86">E74/$E$62</f>
        <v>0.0847622918703942</v>
      </c>
      <c r="I74">
        <f>'Working Trial Balance'!D45</f>
        <v>802988</v>
      </c>
      <c r="K74" s="26">
        <f aca="true" t="shared" si="10" ref="K74:K86">I74/$I$62</f>
        <v>0.0785128370895883</v>
      </c>
      <c r="M74" s="26">
        <f aca="true" t="shared" si="11" ref="M74:M86">IF(I74=0,"",(E74-I74)/I74)</f>
        <v>0.22474432992771998</v>
      </c>
    </row>
    <row r="75" spans="3:13" ht="12.75">
      <c r="C75" s="3" t="s">
        <v>178</v>
      </c>
      <c r="E75">
        <f>'Working Trial Balance'!I46</f>
        <v>596060</v>
      </c>
      <c r="G75" s="26">
        <f t="shared" si="9"/>
        <v>0.05137338433610808</v>
      </c>
      <c r="I75">
        <f>'Working Trial Balance'!D46</f>
        <v>437889</v>
      </c>
      <c r="K75" s="26">
        <f t="shared" si="10"/>
        <v>0.04281497073470927</v>
      </c>
      <c r="M75" s="26">
        <f t="shared" si="11"/>
        <v>0.36121254473165576</v>
      </c>
    </row>
    <row r="76" spans="3:13" ht="12.75">
      <c r="C76" s="3" t="s">
        <v>172</v>
      </c>
      <c r="E76">
        <f>'Working Trial Balance'!I47</f>
        <v>319876</v>
      </c>
      <c r="G76" s="26">
        <f t="shared" si="9"/>
        <v>0.027569561265471443</v>
      </c>
      <c r="I76">
        <f>'Working Trial Balance'!D47</f>
        <v>223433</v>
      </c>
      <c r="K76" s="26">
        <f t="shared" si="10"/>
        <v>0.021846352286009233</v>
      </c>
      <c r="M76" s="26">
        <f t="shared" si="11"/>
        <v>0.43164170019647946</v>
      </c>
    </row>
    <row r="77" spans="3:13" ht="12.75">
      <c r="C77" s="3" t="s">
        <v>87</v>
      </c>
      <c r="E77">
        <f>'Working Trial Balance'!I48</f>
        <v>166988</v>
      </c>
      <c r="G77" s="26">
        <f t="shared" si="9"/>
        <v>0.014392407984964627</v>
      </c>
      <c r="I77">
        <f>'Working Trial Balance'!D48</f>
        <v>124344</v>
      </c>
      <c r="K77" s="26">
        <f t="shared" si="10"/>
        <v>0.01215784073369436</v>
      </c>
      <c r="M77" s="26">
        <f t="shared" si="11"/>
        <v>0.3429518111046774</v>
      </c>
    </row>
    <row r="78" spans="3:13" ht="12.75">
      <c r="C78" s="3" t="s">
        <v>89</v>
      </c>
      <c r="E78">
        <f>'Working Trial Balance'!I49</f>
        <v>110876</v>
      </c>
      <c r="G78" s="26">
        <f t="shared" si="9"/>
        <v>0.009556211390884004</v>
      </c>
      <c r="I78">
        <f>'Working Trial Balance'!D49</f>
        <v>92455</v>
      </c>
      <c r="K78" s="26">
        <f t="shared" si="10"/>
        <v>0.00903986653987094</v>
      </c>
      <c r="M78" s="26">
        <f t="shared" si="11"/>
        <v>0.19924287491211942</v>
      </c>
    </row>
    <row r="79" spans="3:13" ht="12.75">
      <c r="C79" s="3" t="s">
        <v>91</v>
      </c>
      <c r="E79">
        <f>'Working Trial Balance'!I50</f>
        <v>93454</v>
      </c>
      <c r="G79" s="26">
        <f t="shared" si="9"/>
        <v>0.008054639230524853</v>
      </c>
      <c r="I79">
        <f>'Working Trial Balance'!D50</f>
        <v>109723</v>
      </c>
      <c r="K79" s="26">
        <f t="shared" si="10"/>
        <v>0.010728259978954725</v>
      </c>
      <c r="M79" s="26">
        <f t="shared" si="11"/>
        <v>-0.14827337932794402</v>
      </c>
    </row>
    <row r="80" spans="3:13" ht="12.75">
      <c r="C80" s="3" t="s">
        <v>93</v>
      </c>
      <c r="E80">
        <f>'Working Trial Balance'!I51</f>
        <v>91787</v>
      </c>
      <c r="G80" s="26">
        <f t="shared" si="9"/>
        <v>0.007910963372912715</v>
      </c>
      <c r="I80">
        <f>'Working Trial Balance'!D51</f>
        <v>73544</v>
      </c>
      <c r="K80" s="26">
        <f t="shared" si="10"/>
        <v>0.0071908273734061804</v>
      </c>
      <c r="M80" s="26">
        <f t="shared" si="11"/>
        <v>0.24805558577178288</v>
      </c>
    </row>
    <row r="81" spans="3:13" ht="12.75">
      <c r="C81" s="3" t="s">
        <v>179</v>
      </c>
      <c r="E81">
        <f>'Working Trial Balance'!I52</f>
        <v>56477</v>
      </c>
      <c r="G81" s="26">
        <f t="shared" si="9"/>
        <v>0.004867655315153468</v>
      </c>
      <c r="I81">
        <f>'Working Trial Balance'!D52</f>
        <v>34545</v>
      </c>
      <c r="K81" s="26">
        <f t="shared" si="10"/>
        <v>0.003377666860849512</v>
      </c>
      <c r="M81" s="26">
        <f t="shared" si="11"/>
        <v>0.6348820379215516</v>
      </c>
    </row>
    <row r="82" spans="3:13" ht="12.75">
      <c r="C82" s="3" t="s">
        <v>97</v>
      </c>
      <c r="E82">
        <f>'Working Trial Balance'!I53</f>
        <v>119967</v>
      </c>
      <c r="G82" s="26">
        <f t="shared" si="9"/>
        <v>0.010339749016290102</v>
      </c>
      <c r="I82">
        <f>'Working Trial Balance'!D53</f>
        <v>93844</v>
      </c>
      <c r="K82" s="26">
        <f t="shared" si="10"/>
        <v>0.009175677200450472</v>
      </c>
      <c r="M82" s="26">
        <f t="shared" si="11"/>
        <v>0.27836622479860196</v>
      </c>
    </row>
    <row r="83" spans="3:13" ht="12.75">
      <c r="C83" s="3" t="s">
        <v>99</v>
      </c>
      <c r="E83">
        <f>'Working Trial Balance'!I54</f>
        <v>28756</v>
      </c>
      <c r="G83" s="26">
        <f t="shared" si="9"/>
        <v>0.002478430090878643</v>
      </c>
      <c r="I83">
        <f>'Working Trial Balance'!D54</f>
        <v>25644</v>
      </c>
      <c r="K83" s="26">
        <f t="shared" si="10"/>
        <v>0.0025073639884100416</v>
      </c>
      <c r="M83" s="26">
        <f t="shared" si="11"/>
        <v>0.12135392294493838</v>
      </c>
    </row>
    <row r="84" spans="3:13" ht="12.75">
      <c r="C84" s="3" t="s">
        <v>101</v>
      </c>
      <c r="E84">
        <f>'Working Trial Balance'!I55</f>
        <v>63222</v>
      </c>
      <c r="G84" s="26">
        <f t="shared" si="9"/>
        <v>0.005448995242924244</v>
      </c>
      <c r="I84">
        <f>'Working Trial Balance'!D55</f>
        <v>83341</v>
      </c>
      <c r="K84" s="26">
        <f t="shared" si="10"/>
        <v>0.008148737410625537</v>
      </c>
      <c r="M84" s="26">
        <f t="shared" si="11"/>
        <v>-0.24140579066725862</v>
      </c>
    </row>
    <row r="85" spans="3:13" ht="12.75">
      <c r="C85" s="3" t="s">
        <v>180</v>
      </c>
      <c r="E85" s="27">
        <f>'Working Trial Balance'!I56</f>
        <v>45333</v>
      </c>
      <c r="G85" s="26">
        <f t="shared" si="9"/>
        <v>0.003907173157247236</v>
      </c>
      <c r="I85" s="27">
        <f>'Working Trial Balance'!D56</f>
        <v>37644</v>
      </c>
      <c r="K85" s="26">
        <f t="shared" si="10"/>
        <v>0.0036806742309978004</v>
      </c>
      <c r="M85" s="26">
        <f t="shared" si="11"/>
        <v>0.20425565827223463</v>
      </c>
    </row>
    <row r="86" spans="4:13" ht="12.75">
      <c r="D86" s="3" t="s">
        <v>143</v>
      </c>
      <c r="E86">
        <f>SUM(E74:E85)</f>
        <v>2676251</v>
      </c>
      <c r="G86" s="26">
        <f t="shared" si="9"/>
        <v>0.23066146227375361</v>
      </c>
      <c r="I86">
        <f>SUM(I74:I85)</f>
        <v>2139394</v>
      </c>
      <c r="K86" s="26">
        <f t="shared" si="10"/>
        <v>0.20918107442756637</v>
      </c>
      <c r="M86" s="26">
        <f t="shared" si="11"/>
        <v>0.25093881725385786</v>
      </c>
    </row>
    <row r="87" ht="12.75">
      <c r="C87" s="3" t="s">
        <v>181</v>
      </c>
    </row>
    <row r="88" spans="3:13" ht="12.75">
      <c r="C88" s="3" t="s">
        <v>182</v>
      </c>
      <c r="D88" s="3" t="s">
        <v>143</v>
      </c>
      <c r="E88">
        <f>E72+E86</f>
        <v>3543798</v>
      </c>
      <c r="G88" s="26">
        <f>E88/$E$62</f>
        <v>0.30543384334384316</v>
      </c>
      <c r="I88">
        <f>I72+I86</f>
        <v>2885506</v>
      </c>
      <c r="K88" s="26">
        <f>I88/$I$62</f>
        <v>0.2821328120707029</v>
      </c>
      <c r="M88" s="26">
        <f>IF(I88=0,"",(E88-I88)/I88)</f>
        <v>0.22813745665404958</v>
      </c>
    </row>
    <row r="90" spans="2:13" ht="12.75">
      <c r="B90" s="3" t="s">
        <v>183</v>
      </c>
      <c r="D90" s="3" t="s">
        <v>143</v>
      </c>
      <c r="E90">
        <f>E64-E88</f>
        <v>661340</v>
      </c>
      <c r="G90" s="26">
        <f>E90/$E$62</f>
        <v>0.05699975505291702</v>
      </c>
      <c r="I90">
        <f>I64-I88</f>
        <v>474495</v>
      </c>
      <c r="K90" s="26">
        <f>I90/$I$62</f>
        <v>0.04639415362972323</v>
      </c>
      <c r="M90" s="26">
        <f>IF(I90=0,"",(E90-I90)/I90)</f>
        <v>0.3937765413755677</v>
      </c>
    </row>
    <row r="91" spans="3:13" ht="12.75">
      <c r="C91" s="3" t="s">
        <v>105</v>
      </c>
      <c r="E91">
        <f>'Working Trial Balance'!I57</f>
        <v>77434</v>
      </c>
      <c r="G91" s="26">
        <f>E91/$E$62</f>
        <v>0.00667390303439619</v>
      </c>
      <c r="I91">
        <f>'Working Trial Balance'!D57</f>
        <v>68743</v>
      </c>
      <c r="K91" s="26">
        <f>I91/$I$62</f>
        <v>0.006721405500517527</v>
      </c>
      <c r="M91" s="26">
        <f>IF(I91=0,"",(E91-I91)/I91)</f>
        <v>0.12642741806438473</v>
      </c>
    </row>
    <row r="92" spans="5:9" ht="12.75">
      <c r="E92" s="27"/>
      <c r="I92" s="27"/>
    </row>
    <row r="93" spans="2:13" ht="12.75">
      <c r="B93" s="3" t="s">
        <v>184</v>
      </c>
      <c r="D93" s="3" t="s">
        <v>143</v>
      </c>
      <c r="E93">
        <f>E90-E91</f>
        <v>583906</v>
      </c>
      <c r="G93" s="26">
        <f>E93/$E$62</f>
        <v>0.05032585201852083</v>
      </c>
      <c r="I93">
        <f>I90-I91</f>
        <v>405752</v>
      </c>
      <c r="K93" s="26">
        <f>I93/$I$62</f>
        <v>0.03967274812920571</v>
      </c>
      <c r="M93" s="26">
        <f>IF(I93=0,"",(E93-I93)/I93)</f>
        <v>0.4390711567657091</v>
      </c>
    </row>
    <row r="95" ht="12.75">
      <c r="B95" s="3" t="s">
        <v>185</v>
      </c>
    </row>
    <row r="96" spans="3:13" ht="12.75">
      <c r="C96" s="3" t="s">
        <v>186</v>
      </c>
      <c r="E96">
        <f>'Working Trial Balance'!I58</f>
        <v>122467</v>
      </c>
      <c r="G96" s="26">
        <f>E96/$E$62</f>
        <v>0.010555219708569855</v>
      </c>
      <c r="I96">
        <f>'Working Trial Balance'!D58</f>
        <v>71342</v>
      </c>
      <c r="K96" s="26">
        <f>I96/$I$62</f>
        <v>0.0069755249438913265</v>
      </c>
      <c r="M96" s="26">
        <f>IF(I96=0,"",(E96-I96)/I96)</f>
        <v>0.716618541672507</v>
      </c>
    </row>
    <row r="97" spans="3:13" ht="12.75">
      <c r="C97" s="3" t="s">
        <v>187</v>
      </c>
      <c r="E97">
        <f>'Working Trial Balance'!I59</f>
        <v>3002</v>
      </c>
      <c r="G97" s="26">
        <f>E97/$E$62</f>
        <v>0.0002587372072895287</v>
      </c>
      <c r="I97">
        <f>'Working Trial Balance'!D59</f>
        <v>3245</v>
      </c>
      <c r="K97" s="26">
        <f>I97/$I$62</f>
        <v>0.0003172826447664399</v>
      </c>
      <c r="M97" s="26">
        <f>IF(I97=0,"",(E97-I97)/I97)</f>
        <v>-0.074884437596302</v>
      </c>
    </row>
    <row r="99" spans="2:13" ht="12.75">
      <c r="B99" s="3" t="s">
        <v>188</v>
      </c>
      <c r="D99" s="3" t="s">
        <v>143</v>
      </c>
      <c r="E99">
        <f>E93-E96-E97</f>
        <v>458437</v>
      </c>
      <c r="G99" s="26">
        <f>E99/$E$62</f>
        <v>0.03951189510266144</v>
      </c>
      <c r="I99">
        <f>I93-I96-I97</f>
        <v>331165</v>
      </c>
      <c r="K99" s="26">
        <f>I99/$I$62</f>
        <v>0.03237994054054794</v>
      </c>
      <c r="M99" s="26">
        <f>IF(I99=0,"",(E99-I99)/I99)</f>
        <v>0.3843159754201078</v>
      </c>
    </row>
    <row r="101" spans="2:13" ht="12.75">
      <c r="B101" s="3" t="s">
        <v>189</v>
      </c>
      <c r="E101">
        <f>I103</f>
        <v>689904</v>
      </c>
      <c r="G101" s="26"/>
      <c r="I101">
        <v>358739</v>
      </c>
      <c r="K101" s="26"/>
      <c r="M101" s="26">
        <f>IF(I101=0,"",(E101-I101)/I101)</f>
        <v>0.9231363191623994</v>
      </c>
    </row>
    <row r="102" spans="2:13" ht="12.75">
      <c r="B102" s="3" t="s">
        <v>190</v>
      </c>
      <c r="E102" s="27">
        <f>-'Working Trial Balance'!I33</f>
        <v>-90000</v>
      </c>
      <c r="G102" s="26"/>
      <c r="I102" s="27">
        <f>-'Working Trial Balance'!D33</f>
        <v>0</v>
      </c>
      <c r="K102" s="26"/>
      <c r="M102" s="26">
        <f>IF(I102=0,"",(E102-I102)/I102)</f>
      </c>
    </row>
    <row r="103" spans="2:13" ht="13.5" thickBot="1">
      <c r="B103" s="3" t="s">
        <v>191</v>
      </c>
      <c r="D103" s="3" t="s">
        <v>143</v>
      </c>
      <c r="E103" s="2">
        <f>SUM(E99:E102)</f>
        <v>1058341</v>
      </c>
      <c r="G103" s="26"/>
      <c r="I103" s="2">
        <f>SUM(I99:I102)</f>
        <v>689904</v>
      </c>
      <c r="K103" s="26"/>
      <c r="M103" s="26">
        <f>IF(I103=0,"",(E103-I103)/I103)</f>
        <v>0.5340409680187388</v>
      </c>
    </row>
    <row r="104" ht="13.5" thickTop="1"/>
  </sheetData>
  <printOptions/>
  <pageMargins left="0.7" right="0.4" top="0.5" bottom="0.5" header="0.5" footer="0.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C2:K22"/>
  <sheetViews>
    <sheetView showGridLines="0" tabSelected="1" workbookViewId="0" topLeftCell="A1">
      <selection activeCell="E11" sqref="E11"/>
    </sheetView>
  </sheetViews>
  <sheetFormatPr defaultColWidth="9.7109375" defaultRowHeight="12.75"/>
  <cols>
    <col min="1" max="1" width="2.421875" style="0" customWidth="1"/>
    <col min="2" max="2" width="1.8515625" style="0" customWidth="1"/>
    <col min="3" max="3" width="45.140625" style="0" customWidth="1"/>
    <col min="4" max="4" width="1.7109375" style="0" customWidth="1"/>
    <col min="5" max="5" width="8.7109375" style="0" customWidth="1"/>
    <col min="6" max="8" width="1.7109375" style="0" customWidth="1"/>
    <col min="9" max="9" width="8.7109375" style="0" customWidth="1"/>
    <col min="10" max="10" width="1.7109375" style="0" customWidth="1"/>
    <col min="11" max="11" width="8.7109375" style="0" customWidth="1"/>
    <col min="12" max="12" width="1.7109375" style="0" customWidth="1"/>
  </cols>
  <sheetData>
    <row r="2" spans="9:11" ht="12.75">
      <c r="I2" s="3" t="s">
        <v>0</v>
      </c>
      <c r="K2" s="30" t="s">
        <v>192</v>
      </c>
    </row>
    <row r="3" spans="3:11" ht="13.5">
      <c r="C3" s="5" t="s">
        <v>2</v>
      </c>
      <c r="I3" s="3" t="s">
        <v>193</v>
      </c>
      <c r="K3" s="31" t="s">
        <v>4</v>
      </c>
    </row>
    <row r="4" spans="3:11" ht="12.75">
      <c r="C4" s="5" t="s">
        <v>194</v>
      </c>
      <c r="I4" s="3" t="s">
        <v>6</v>
      </c>
      <c r="K4" s="32" t="s">
        <v>7</v>
      </c>
    </row>
    <row r="5" ht="12.75">
      <c r="C5" s="5" t="s">
        <v>166</v>
      </c>
    </row>
    <row r="6" ht="12.75">
      <c r="C6" s="29"/>
    </row>
    <row r="8" spans="5:11" ht="12.75">
      <c r="E8" s="24" t="s">
        <v>8</v>
      </c>
      <c r="F8" s="29"/>
      <c r="G8" s="29"/>
      <c r="I8" s="24" t="s">
        <v>139</v>
      </c>
      <c r="K8" s="24" t="s">
        <v>195</v>
      </c>
    </row>
    <row r="10" spans="3:11" ht="12.75">
      <c r="C10" s="3" t="s">
        <v>196</v>
      </c>
      <c r="E10" s="33">
        <f>'Financial Statements'!E15/'Financial Statements'!E36</f>
        <v>1.8578528562139576</v>
      </c>
      <c r="F10" s="33"/>
      <c r="G10" s="33"/>
      <c r="I10" s="33">
        <f>'Financial Statements'!I15/'Financial Statements'!I36</f>
        <v>1.7524639231934214</v>
      </c>
      <c r="K10" s="33">
        <v>1.3</v>
      </c>
    </row>
    <row r="11" spans="3:11" ht="12.75">
      <c r="C11" s="3" t="s">
        <v>197</v>
      </c>
      <c r="E11" s="33">
        <f>((+'Financial Statements'!E10+'Financial Statements'!I10)/2)/('Financial Statements'!E62/365)</f>
        <v>29.52396253878257</v>
      </c>
      <c r="F11" s="33"/>
      <c r="G11" s="33"/>
      <c r="I11" s="33">
        <v>33.224</v>
      </c>
      <c r="K11" s="33">
        <v>37</v>
      </c>
    </row>
    <row r="12" spans="3:11" ht="12.75">
      <c r="C12" s="3" t="s">
        <v>198</v>
      </c>
      <c r="E12" s="26">
        <f>-'Financial Statements'!E11/'Financial Statements'!E10</f>
        <v>0.010160764792949993</v>
      </c>
      <c r="F12" s="26"/>
      <c r="G12" s="26"/>
      <c r="I12" s="26">
        <f>-'Financial Statements'!I11/'Financial Statements'!I10</f>
        <v>0.011248435764401514</v>
      </c>
      <c r="K12" s="34" t="s">
        <v>199</v>
      </c>
    </row>
    <row r="13" spans="3:11" ht="12.75">
      <c r="C13" s="3" t="s">
        <v>200</v>
      </c>
      <c r="E13" s="26">
        <f>'Financial Statements'!E81/'Financial Statements'!E62</f>
        <v>0.004867655315153468</v>
      </c>
      <c r="F13" s="26"/>
      <c r="G13" s="26"/>
      <c r="I13" s="26">
        <f>'Financial Statements'!I81/'Financial Statements'!I62</f>
        <v>0.003377666860849512</v>
      </c>
      <c r="K13" s="34" t="s">
        <v>199</v>
      </c>
    </row>
    <row r="14" spans="3:11" ht="12.75">
      <c r="C14" s="3" t="s">
        <v>201</v>
      </c>
      <c r="E14" s="33">
        <f>'Financial Statements'!E63/(('Financial Statements'!E13+'Financial Statements'!I13)/2)</f>
        <v>9.255329025154674</v>
      </c>
      <c r="F14" s="33"/>
      <c r="G14" s="33"/>
      <c r="I14" s="33">
        <v>10.4</v>
      </c>
      <c r="K14" s="33">
        <v>10</v>
      </c>
    </row>
    <row r="15" spans="3:11" ht="12.75">
      <c r="C15" s="35" t="s">
        <v>202</v>
      </c>
      <c r="E15" s="33">
        <f>(('Financial Statements'!E13+'Financial Statements'!I13)/2)/('Financial Statements'!E63/365)</f>
        <v>39.43673952681549</v>
      </c>
      <c r="F15" s="33"/>
      <c r="G15" s="33"/>
      <c r="I15" s="33">
        <v>35.2</v>
      </c>
      <c r="K15" s="33">
        <v>36</v>
      </c>
    </row>
    <row r="16" spans="3:11" ht="12.75">
      <c r="C16" s="3" t="s">
        <v>203</v>
      </c>
      <c r="E16" s="33">
        <f>'Financial Statements'!E42/'Financial Statements'!E48</f>
        <v>1.1073073997221399</v>
      </c>
      <c r="F16" s="33"/>
      <c r="G16" s="33"/>
      <c r="I16" s="33">
        <f>'Financial Statements'!I42/'Financial Statements'!I48</f>
        <v>1.4436372248856033</v>
      </c>
      <c r="K16" s="33">
        <v>2.9</v>
      </c>
    </row>
    <row r="17" spans="3:11" ht="12.75">
      <c r="C17" s="3" t="s">
        <v>204</v>
      </c>
      <c r="E17" s="26">
        <f>NETINC5/'Financial Statements'!E25</f>
        <v>0.19423987960133193</v>
      </c>
      <c r="F17" s="26"/>
      <c r="G17" s="26"/>
      <c r="I17" s="26">
        <f>NETINC4/'Financial Statements'!I25</f>
        <v>0.1803222184590622</v>
      </c>
      <c r="K17" s="26">
        <v>0.09</v>
      </c>
    </row>
    <row r="18" spans="3:11" ht="12.75">
      <c r="C18" s="3" t="s">
        <v>205</v>
      </c>
      <c r="E18" s="26">
        <f>NETINC5/'Financial Statements'!E48</f>
        <v>0.4093231356050243</v>
      </c>
      <c r="F18" s="26"/>
      <c r="G18" s="26"/>
      <c r="I18" s="26">
        <f>NETINC4/'Financial Statements'!I48</f>
        <v>0.44064208550051825</v>
      </c>
      <c r="K18" s="26">
        <v>0.29</v>
      </c>
    </row>
    <row r="19" spans="3:11" ht="12.75">
      <c r="C19" s="3" t="s">
        <v>206</v>
      </c>
      <c r="E19" s="26">
        <f>NETINC5/'Financial Statements'!E62</f>
        <v>0.03951189510266144</v>
      </c>
      <c r="F19" s="26"/>
      <c r="G19" s="26"/>
      <c r="I19" s="26">
        <f>NETINC4/'Financial Statements'!I62</f>
        <v>0.03237994054054794</v>
      </c>
      <c r="K19" s="26">
        <v>0.023</v>
      </c>
    </row>
    <row r="20" spans="3:11" ht="12.75">
      <c r="C20" s="3" t="s">
        <v>207</v>
      </c>
      <c r="E20" s="26">
        <f>'Financial Statements'!E64/'Financial Statements'!E62</f>
        <v>0.36243359839676015</v>
      </c>
      <c r="F20" s="26"/>
      <c r="G20" s="26"/>
      <c r="I20" s="26">
        <f>'Financial Statements'!I64/'Financial Statements'!I62</f>
        <v>0.3285269657004261</v>
      </c>
      <c r="K20" s="26">
        <v>0.24</v>
      </c>
    </row>
    <row r="21" spans="3:11" ht="12.75">
      <c r="C21" s="35" t="s">
        <v>208</v>
      </c>
      <c r="E21" s="26">
        <f>'Financial Statements'!E88/'Financial Statements'!E62</f>
        <v>0.30543384334384316</v>
      </c>
      <c r="F21" s="26"/>
      <c r="G21" s="26"/>
      <c r="I21" s="26">
        <f>'Financial Statements'!I88/'Financial Statements'!I62</f>
        <v>0.2821328120707029</v>
      </c>
      <c r="K21" s="26">
        <v>0.23900000000000002</v>
      </c>
    </row>
    <row r="22" spans="3:11" ht="12.75">
      <c r="C22" s="3" t="s">
        <v>209</v>
      </c>
      <c r="E22" s="33">
        <f>'Financial Statements'!E90/'Financial Statements'!E91</f>
        <v>8.540692718960663</v>
      </c>
      <c r="F22" s="33"/>
      <c r="G22" s="33"/>
      <c r="I22" s="33">
        <f>'Financial Statements'!I90/'Financial Statements'!I91</f>
        <v>6.90244824927629</v>
      </c>
      <c r="K22" s="33">
        <v>5.5</v>
      </c>
    </row>
  </sheetData>
  <printOptions/>
  <pageMargins left="0.7" right="0.4" top="0.5" bottom="0.5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2003-05-14T19:59:57Z</dcterms:created>
  <dcterms:modified xsi:type="dcterms:W3CDTF">2006-02-03T17:02:51Z</dcterms:modified>
  <cp:category/>
  <cp:version/>
  <cp:contentType/>
  <cp:contentStatus/>
</cp:coreProperties>
</file>