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55" windowHeight="9165" activeTab="0"/>
  </bookViews>
  <sheets>
    <sheet name="TABLE 19.1" sheetId="1" r:id="rId1"/>
    <sheet name="TABLE 19.2" sheetId="2" r:id="rId2"/>
    <sheet name="TABLE 19.3" sheetId="3" r:id="rId3"/>
    <sheet name="TABLE 19.4" sheetId="4" r:id="rId4"/>
    <sheet name="TABLE 19.5" sheetId="5" r:id="rId5"/>
    <sheet name="TABLE 19.6" sheetId="6" r:id="rId6"/>
    <sheet name="TABLE 19.7" sheetId="7" r:id="rId7"/>
    <sheet name="TABLE 19.8" sheetId="8" r:id="rId8"/>
    <sheet name="TABLE 19.9" sheetId="9" r:id="rId9"/>
    <sheet name="TABLE 19.10" sheetId="10" r:id="rId10"/>
  </sheets>
  <definedNames/>
  <calcPr fullCalcOnLoad="1"/>
</workbook>
</file>

<file path=xl/sharedStrings.xml><?xml version="1.0" encoding="utf-8"?>
<sst xmlns="http://schemas.openxmlformats.org/spreadsheetml/2006/main" count="185" uniqueCount="144">
  <si>
    <t>Revenues</t>
  </si>
  <si>
    <t>Costs</t>
  </si>
  <si>
    <t>Depreciation</t>
  </si>
  <si>
    <t>EBIT</t>
  </si>
  <si>
    <t>Interest</t>
  </si>
  <si>
    <t>Tax</t>
  </si>
  <si>
    <t>Net income</t>
  </si>
  <si>
    <t>Dividends</t>
  </si>
  <si>
    <t>Retained earnings</t>
  </si>
  <si>
    <t>Note:</t>
  </si>
  <si>
    <t>Tax rate, percent</t>
  </si>
  <si>
    <t>Assets</t>
  </si>
  <si>
    <t>Current assets:</t>
  </si>
  <si>
    <t>Total current assets</t>
  </si>
  <si>
    <t xml:space="preserve">   Receivables</t>
  </si>
  <si>
    <t xml:space="preserve">   Inventory</t>
  </si>
  <si>
    <t>Fixed assets:</t>
  </si>
  <si>
    <t xml:space="preserve">   Property, plant, and equipment</t>
  </si>
  <si>
    <r>
      <t xml:space="preserve">   Less </t>
    </r>
    <r>
      <rPr>
        <sz val="10"/>
        <rFont val="Arial"/>
        <family val="2"/>
      </rPr>
      <t>accumulated depreciation</t>
    </r>
  </si>
  <si>
    <t>Net fixed assets</t>
  </si>
  <si>
    <t>Total assets</t>
  </si>
  <si>
    <t>Liabilities and Shareholders' Equity</t>
  </si>
  <si>
    <t>Current liabilities:</t>
  </si>
  <si>
    <t xml:space="preserve">   Debt due within 1 year</t>
  </si>
  <si>
    <t xml:space="preserve">   Payables</t>
  </si>
  <si>
    <t>Long-term debt</t>
  </si>
  <si>
    <t>Shareholders' equity</t>
  </si>
  <si>
    <t>Total liabilities and shareholders' equity</t>
  </si>
  <si>
    <t>Change</t>
  </si>
  <si>
    <t>Total current liabilities</t>
  </si>
  <si>
    <t>$ millions</t>
  </si>
  <si>
    <t>Operating cash flow</t>
  </si>
  <si>
    <t>Increase in net working capital</t>
  </si>
  <si>
    <t>Investment in fixed assets</t>
  </si>
  <si>
    <t>Dividend</t>
  </si>
  <si>
    <t>Total uses of funds</t>
  </si>
  <si>
    <t>External capital required</t>
  </si>
  <si>
    <t>Revenue growth, percent</t>
  </si>
  <si>
    <t>Costs, percent of revenues</t>
  </si>
  <si>
    <t>Depreciation, percent of fixed assets at start of yr.</t>
  </si>
  <si>
    <t>Interest, percent of long-term debt at start of yr.</t>
  </si>
  <si>
    <t>Fixed assets, percent of revenues</t>
  </si>
  <si>
    <t>Dividend, percent of net income</t>
  </si>
  <si>
    <t>Net wkg. capital, percent of revenues</t>
  </si>
  <si>
    <t>Net working capital</t>
  </si>
  <si>
    <t>Total net assets</t>
  </si>
  <si>
    <t>Equity</t>
  </si>
  <si>
    <t>Total long-term liabilities and equity</t>
  </si>
  <si>
    <t>Increase in cash balance</t>
  </si>
  <si>
    <t xml:space="preserve">   Cash </t>
  </si>
  <si>
    <t xml:space="preserve">   Marketable securities</t>
  </si>
  <si>
    <t xml:space="preserve">   Net income</t>
  </si>
  <si>
    <t xml:space="preserve">   Depreciation</t>
  </si>
  <si>
    <t>First</t>
  </si>
  <si>
    <t>Second</t>
  </si>
  <si>
    <t>Third</t>
  </si>
  <si>
    <t>Fourth</t>
  </si>
  <si>
    <t>Quarter</t>
  </si>
  <si>
    <t>Sources of cash:</t>
  </si>
  <si>
    <t xml:space="preserve">  Collections on accounts receivable</t>
  </si>
  <si>
    <t xml:space="preserve">  Other</t>
  </si>
  <si>
    <t xml:space="preserve">    Total sources</t>
  </si>
  <si>
    <t>Uses of cash:</t>
  </si>
  <si>
    <t xml:space="preserve">  Payments on accounts payable</t>
  </si>
  <si>
    <t xml:space="preserve">  Labor and other expenses</t>
  </si>
  <si>
    <t xml:space="preserve">  Capital expenditures</t>
  </si>
  <si>
    <t xml:space="preserve">  Taxes, interest, and dividends</t>
  </si>
  <si>
    <t xml:space="preserve">    Total uses</t>
  </si>
  <si>
    <t>Sources minus uses</t>
  </si>
  <si>
    <t>Calculation of short-term borrowing requirement:</t>
  </si>
  <si>
    <t xml:space="preserve">  Cash at start of period</t>
  </si>
  <si>
    <t xml:space="preserve">  Change in cash balance </t>
  </si>
  <si>
    <t xml:space="preserve">  Cash at end of period</t>
  </si>
  <si>
    <t xml:space="preserve">  Minimum operating balance</t>
  </si>
  <si>
    <t xml:space="preserve">  Cumulative financing required</t>
  </si>
  <si>
    <t>New borrowing:</t>
  </si>
  <si>
    <t xml:space="preserve">   1.  Bank loan</t>
  </si>
  <si>
    <t xml:space="preserve">   3.  Total</t>
  </si>
  <si>
    <t>Repayments:</t>
  </si>
  <si>
    <t xml:space="preserve">   4.  Bank loan</t>
  </si>
  <si>
    <t xml:space="preserve">   5.  Stretching payables</t>
  </si>
  <si>
    <t xml:space="preserve">   6.  Total</t>
  </si>
  <si>
    <t xml:space="preserve">   7.  Net new borrowing</t>
  </si>
  <si>
    <t xml:space="preserve">   8.  Plus securities sold</t>
  </si>
  <si>
    <t xml:space="preserve">   9.  Less securities bought</t>
  </si>
  <si>
    <t xml:space="preserve">  10. Total cash raised</t>
  </si>
  <si>
    <t>Note: Cumulative borrowing and security sales</t>
  </si>
  <si>
    <t>Bank loan</t>
  </si>
  <si>
    <t>Stretching payables</t>
  </si>
  <si>
    <t>Net securities sold</t>
  </si>
  <si>
    <t>Interest payments</t>
  </si>
  <si>
    <t xml:space="preserve">  11. Bank loan</t>
  </si>
  <si>
    <t xml:space="preserve">  12. Stretching payables</t>
  </si>
  <si>
    <t xml:space="preserve">  13. Interest on securities sold</t>
  </si>
  <si>
    <t xml:space="preserve">  14. Net interest paid</t>
  </si>
  <si>
    <t xml:space="preserve">  15. Cash required for operations</t>
  </si>
  <si>
    <t xml:space="preserve">  16. Total cash required</t>
  </si>
  <si>
    <t>Notes:</t>
  </si>
  <si>
    <t>Interest rate % on bank loan per qtr.</t>
  </si>
  <si>
    <t>Lost discount % from delayed payments</t>
  </si>
  <si>
    <t>Yield % on securities sold per qtr.</t>
  </si>
  <si>
    <t xml:space="preserve"> you need to forecast sales and collection rates (figures in $ millions)</t>
  </si>
  <si>
    <t>Receivables at start of period</t>
  </si>
  <si>
    <t>Forecast sales</t>
  </si>
  <si>
    <t>Collections:</t>
  </si>
  <si>
    <t xml:space="preserve">  Sales in current period</t>
  </si>
  <si>
    <t xml:space="preserve">  Sales in last period</t>
  </si>
  <si>
    <t xml:space="preserve">    Total collections</t>
  </si>
  <si>
    <t>Receivables at end of period</t>
  </si>
  <si>
    <t>% of sales collected in current period</t>
  </si>
  <si>
    <t>% of sales collected in next period</t>
  </si>
  <si>
    <t xml:space="preserve">   2.  Stretching payables</t>
  </si>
  <si>
    <t xml:space="preserve">  Increase in inventory</t>
  </si>
  <si>
    <t xml:space="preserve">   Decrease (increase) in accounts receivable</t>
  </si>
  <si>
    <t xml:space="preserve">   Decrease (increase) in inventories</t>
  </si>
  <si>
    <t xml:space="preserve">   Increase (decrease) in accounts payable</t>
  </si>
  <si>
    <t>Net cash flow from operating activities</t>
  </si>
  <si>
    <t>Cash flows from operating activities:</t>
  </si>
  <si>
    <t>Cash flows from investing activities:</t>
  </si>
  <si>
    <t xml:space="preserve">  Investment in fixed assets</t>
  </si>
  <si>
    <t>Cash flows from financing activities:</t>
  </si>
  <si>
    <t xml:space="preserve">  Dividends</t>
  </si>
  <si>
    <t xml:space="preserve">  Sale (purchase) of marketable securities</t>
  </si>
  <si>
    <t xml:space="preserve">   Increase (decrease) long-term debt</t>
  </si>
  <si>
    <t xml:space="preserve">   Increase (decrease) short-term debt</t>
  </si>
  <si>
    <t>Net cash flow from financing activities</t>
  </si>
  <si>
    <t>Bank line of credit ($ million)</t>
  </si>
  <si>
    <t>Sources of capital:</t>
  </si>
  <si>
    <t>Net income plus depreciation</t>
  </si>
  <si>
    <t>Uses of capital:</t>
  </si>
  <si>
    <t>Pretax income</t>
  </si>
  <si>
    <t>Net worth (equity and retained earnings)</t>
  </si>
  <si>
    <t>Long-term liabilities and net worth</t>
  </si>
  <si>
    <t xml:space="preserve">         Net fixed assets</t>
  </si>
  <si>
    <t>TABLE 19.1  The 2009 income statement of Dynamic Mattress Company (figures in $ millions)</t>
  </si>
  <si>
    <t>Table 19.2  The balance sheet of Dynamic Mattress Company (figures in $ millions)</t>
  </si>
  <si>
    <t>TABLE 19.3  Statement of cash flows for Dynamic Mattress Company, 2009 (figures in $ millions)</t>
  </si>
  <si>
    <t xml:space="preserve">TABLE 19.4  To forecast Dynamic Mattress's collections on accounts receivable in 2010, </t>
  </si>
  <si>
    <t xml:space="preserve">TABLE 19.5 Dynamic Mattress's cash budget for 2010 (figures in $ millions) </t>
  </si>
  <si>
    <t>TABLE 19.6  Dynamic Mattress's financing plan (figures in $ millions)</t>
  </si>
  <si>
    <t xml:space="preserve">     Table 19.7  Condensed balance sheets for Dynamic Mattress Company (figures in $ millions)</t>
  </si>
  <si>
    <t>TABLE 19.8  Latest and proforma income statements for Dynamic Mattress Company (figures in $ millions)</t>
  </si>
  <si>
    <t>TABLE 19.9  Latest and forecast amounts of external capital required for Dynamci Mattress Company (figures in $ millions)</t>
  </si>
  <si>
    <t>Table 19.10  Latest and proforma balance sheets for Dynamic Mattress Company (figures in $ millions)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</si>
</sst>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#,##0.0"/>
    <numFmt numFmtId="175" formatCode="[$-809]dd\ mmmm\ yyyy"/>
    <numFmt numFmtId="176" formatCode="[$-809]dd\ mmmm\ yyyy;@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i/>
      <u val="single"/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9"/>
      <name val="Arial"/>
      <family val="0"/>
    </font>
    <font>
      <i/>
      <sz val="9"/>
      <name val="Arial"/>
      <family val="0"/>
    </font>
    <font>
      <sz val="10"/>
      <color indexed="2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73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173" fontId="0" fillId="0" borderId="0" xfId="0" applyNumberFormat="1" applyFill="1" applyAlignment="1">
      <alignment/>
    </xf>
    <xf numFmtId="173" fontId="2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0" fillId="3" borderId="0" xfId="0" applyFill="1" applyAlignment="1" applyProtection="1">
      <alignment/>
      <protection locked="0"/>
    </xf>
    <xf numFmtId="17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2" xfId="0" applyFont="1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quotePrefix="1">
      <alignment/>
    </xf>
    <xf numFmtId="1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173" fontId="0" fillId="2" borderId="0" xfId="0" applyNumberForma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173" fontId="8" fillId="3" borderId="0" xfId="0" applyNumberFormat="1" applyFont="1" applyFill="1" applyAlignment="1" applyProtection="1">
      <alignment/>
      <protection locked="0"/>
    </xf>
    <xf numFmtId="173" fontId="10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10" fillId="3" borderId="0" xfId="0" applyNumberFormat="1" applyFont="1" applyFill="1" applyAlignment="1" applyProtection="1">
      <alignment/>
      <protection locked="0"/>
    </xf>
    <xf numFmtId="0" fontId="8" fillId="0" borderId="3" xfId="0" applyFont="1" applyBorder="1" applyAlignment="1">
      <alignment/>
    </xf>
    <xf numFmtId="173" fontId="8" fillId="0" borderId="4" xfId="0" applyNumberFormat="1" applyFont="1" applyBorder="1" applyAlignment="1">
      <alignment/>
    </xf>
    <xf numFmtId="173" fontId="8" fillId="0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173" fontId="8" fillId="0" borderId="0" xfId="0" applyNumberFormat="1" applyFont="1" applyBorder="1" applyAlignment="1">
      <alignment/>
    </xf>
    <xf numFmtId="0" fontId="11" fillId="0" borderId="6" xfId="0" applyFont="1" applyBorder="1" applyAlignment="1">
      <alignment/>
    </xf>
    <xf numFmtId="173" fontId="11" fillId="0" borderId="7" xfId="0" applyNumberFormat="1" applyFont="1" applyBorder="1" applyAlignment="1">
      <alignment/>
    </xf>
    <xf numFmtId="173" fontId="11" fillId="0" borderId="8" xfId="0" applyNumberFormat="1" applyFont="1" applyBorder="1" applyAlignment="1">
      <alignment/>
    </xf>
    <xf numFmtId="0" fontId="11" fillId="0" borderId="9" xfId="0" applyFont="1" applyBorder="1" applyAlignment="1">
      <alignment/>
    </xf>
    <xf numFmtId="173" fontId="11" fillId="0" borderId="0" xfId="0" applyNumberFormat="1" applyFont="1" applyBorder="1" applyAlignment="1">
      <alignment/>
    </xf>
    <xf numFmtId="173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/>
    </xf>
    <xf numFmtId="173" fontId="11" fillId="0" borderId="2" xfId="0" applyNumberFormat="1" applyFont="1" applyBorder="1" applyAlignment="1">
      <alignment/>
    </xf>
    <xf numFmtId="173" fontId="11" fillId="0" borderId="12" xfId="0" applyNumberFormat="1" applyFont="1" applyBorder="1" applyAlignment="1">
      <alignment/>
    </xf>
    <xf numFmtId="0" fontId="8" fillId="3" borderId="0" xfId="0" applyFont="1" applyFill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12" fillId="2" borderId="0" xfId="0" applyFont="1" applyFill="1" applyAlignment="1">
      <alignment/>
    </xf>
    <xf numFmtId="0" fontId="12" fillId="0" borderId="0" xfId="0" applyFont="1" applyAlignment="1">
      <alignment/>
    </xf>
    <xf numFmtId="173" fontId="0" fillId="0" borderId="2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4" xfId="0" applyFill="1" applyBorder="1" applyAlignment="1">
      <alignment/>
    </xf>
    <xf numFmtId="173" fontId="0" fillId="0" borderId="2" xfId="0" applyNumberFormat="1" applyBorder="1" applyAlignment="1">
      <alignment/>
    </xf>
    <xf numFmtId="0" fontId="0" fillId="2" borderId="0" xfId="0" applyFill="1" applyAlignment="1" applyProtection="1">
      <alignment/>
      <protection locked="0"/>
    </xf>
    <xf numFmtId="173" fontId="0" fillId="3" borderId="0" xfId="0" applyNumberFormat="1" applyFill="1" applyAlignment="1" applyProtection="1">
      <alignment/>
      <protection locked="0"/>
    </xf>
    <xf numFmtId="173" fontId="0" fillId="3" borderId="2" xfId="0" applyNumberFormat="1" applyFill="1" applyBorder="1" applyAlignment="1" applyProtection="1">
      <alignment/>
      <protection locked="0"/>
    </xf>
    <xf numFmtId="3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1" fontId="0" fillId="0" borderId="0" xfId="0" applyNumberFormat="1" applyAlignment="1">
      <alignment/>
    </xf>
    <xf numFmtId="1" fontId="0" fillId="0" borderId="4" xfId="0" applyNumberFormat="1" applyFill="1" applyBorder="1" applyAlignment="1">
      <alignment/>
    </xf>
    <xf numFmtId="176" fontId="4" fillId="0" borderId="0" xfId="0" applyNumberFormat="1" applyFont="1" applyFill="1" applyAlignment="1">
      <alignment/>
    </xf>
    <xf numFmtId="1" fontId="0" fillId="0" borderId="2" xfId="0" applyNumberFormat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421875" style="18" customWidth="1"/>
    <col min="2" max="2" width="10.140625" style="18" customWidth="1"/>
    <col min="3" max="3" width="7.140625" style="18" customWidth="1"/>
    <col min="4" max="4" width="6.00390625" style="18" customWidth="1"/>
    <col min="5" max="5" width="15.57421875" style="18" customWidth="1"/>
    <col min="6" max="7" width="9.140625" style="18" customWidth="1"/>
    <col min="8" max="8" width="12.00390625" style="18" customWidth="1"/>
    <col min="9" max="9" width="17.28125" style="18" customWidth="1"/>
    <col min="10" max="16384" width="9.140625" style="18" customWidth="1"/>
  </cols>
  <sheetData>
    <row r="1" ht="70.5" customHeight="1"/>
    <row r="2" spans="2:9" ht="12.75">
      <c r="B2" s="81" t="s">
        <v>134</v>
      </c>
      <c r="C2" s="81"/>
      <c r="D2" s="81"/>
      <c r="E2" s="81"/>
      <c r="F2" s="81"/>
      <c r="G2" s="81"/>
      <c r="H2" s="81"/>
      <c r="I2" s="81"/>
    </row>
    <row r="3" spans="2:9" ht="12.75">
      <c r="B3" s="9"/>
      <c r="C3" s="9"/>
      <c r="D3" s="9"/>
      <c r="E3" s="9"/>
      <c r="F3" s="9"/>
      <c r="G3" s="9"/>
      <c r="H3" s="9"/>
      <c r="I3" s="9"/>
    </row>
    <row r="4" spans="2:9" ht="12.75">
      <c r="B4" s="2"/>
      <c r="C4" s="2"/>
      <c r="D4" s="2"/>
      <c r="E4" s="2"/>
      <c r="F4" s="6" t="s">
        <v>30</v>
      </c>
      <c r="G4"/>
      <c r="H4"/>
      <c r="I4"/>
    </row>
    <row r="5" spans="2:9" ht="12.75">
      <c r="B5" s="2"/>
      <c r="C5" s="2"/>
      <c r="D5" s="2"/>
      <c r="E5" s="2" t="s">
        <v>0</v>
      </c>
      <c r="F5" s="70">
        <v>2200</v>
      </c>
      <c r="G5"/>
      <c r="H5"/>
      <c r="I5"/>
    </row>
    <row r="6" spans="2:9" ht="12.75">
      <c r="B6" s="2"/>
      <c r="C6" s="2"/>
      <c r="D6" s="2"/>
      <c r="E6" s="2" t="s">
        <v>1</v>
      </c>
      <c r="F6" s="70">
        <f>1644+411</f>
        <v>2055</v>
      </c>
      <c r="G6"/>
      <c r="H6"/>
      <c r="I6"/>
    </row>
    <row r="7" spans="2:9" ht="13.5" thickBot="1">
      <c r="B7" s="2"/>
      <c r="C7" s="2"/>
      <c r="D7" s="2"/>
      <c r="E7" s="2" t="s">
        <v>2</v>
      </c>
      <c r="F7" s="71">
        <v>20</v>
      </c>
      <c r="G7"/>
      <c r="H7"/>
      <c r="I7"/>
    </row>
    <row r="8" spans="2:9" ht="12.75">
      <c r="B8" s="2"/>
      <c r="C8" s="2"/>
      <c r="D8" s="2"/>
      <c r="E8" s="2" t="s">
        <v>3</v>
      </c>
      <c r="F8" s="14">
        <f>+F5-F6-F7</f>
        <v>125</v>
      </c>
      <c r="G8"/>
      <c r="H8"/>
      <c r="I8"/>
    </row>
    <row r="9" spans="2:9" ht="13.5" thickBot="1">
      <c r="B9" s="2"/>
      <c r="C9" s="2"/>
      <c r="D9" s="2"/>
      <c r="E9" s="2" t="s">
        <v>4</v>
      </c>
      <c r="F9" s="71">
        <v>5</v>
      </c>
      <c r="G9"/>
      <c r="H9"/>
      <c r="I9"/>
    </row>
    <row r="10" spans="2:9" ht="12.75">
      <c r="B10" s="2"/>
      <c r="C10" s="2"/>
      <c r="D10" s="2"/>
      <c r="E10" s="2" t="s">
        <v>130</v>
      </c>
      <c r="F10" s="14">
        <f>F8-F9</f>
        <v>120</v>
      </c>
      <c r="G10"/>
      <c r="H10"/>
      <c r="I10"/>
    </row>
    <row r="11" spans="2:9" ht="13.5" thickBot="1">
      <c r="B11" s="2"/>
      <c r="C11" s="2"/>
      <c r="D11" s="2"/>
      <c r="E11" s="2" t="s">
        <v>5</v>
      </c>
      <c r="F11" s="65">
        <f>(F8-F9)*F$18/100</f>
        <v>60</v>
      </c>
      <c r="G11"/>
      <c r="H11"/>
      <c r="I11"/>
    </row>
    <row r="12" spans="2:9" ht="12.75">
      <c r="B12" s="2"/>
      <c r="C12" s="2"/>
      <c r="D12" s="2"/>
      <c r="E12" s="2" t="s">
        <v>6</v>
      </c>
      <c r="F12" s="14">
        <f>+F8-F9-F11</f>
        <v>60</v>
      </c>
      <c r="G12"/>
      <c r="H12"/>
      <c r="I12"/>
    </row>
    <row r="13" spans="2:9" ht="12.75">
      <c r="B13" s="2"/>
      <c r="C13" s="2"/>
      <c r="D13" s="2"/>
      <c r="E13" s="2"/>
      <c r="F13" s="2"/>
      <c r="G13"/>
      <c r="H13"/>
      <c r="I13"/>
    </row>
    <row r="14" spans="2:9" ht="12.75">
      <c r="B14" s="2"/>
      <c r="C14" s="2"/>
      <c r="D14" s="2"/>
      <c r="E14" s="2" t="s">
        <v>7</v>
      </c>
      <c r="F14" s="70">
        <v>30</v>
      </c>
      <c r="G14"/>
      <c r="H14"/>
      <c r="I14"/>
    </row>
    <row r="15" spans="2:9" ht="12.75">
      <c r="B15" s="2"/>
      <c r="C15" s="2"/>
      <c r="D15" s="2"/>
      <c r="E15" s="2" t="s">
        <v>8</v>
      </c>
      <c r="F15" s="14">
        <f>F12-F14</f>
        <v>30</v>
      </c>
      <c r="G15"/>
      <c r="H15"/>
      <c r="I15"/>
    </row>
    <row r="16" spans="2:9" ht="12.75">
      <c r="B16" s="2"/>
      <c r="C16" s="2"/>
      <c r="D16" s="2"/>
      <c r="E16" s="2"/>
      <c r="F16" s="2"/>
      <c r="G16"/>
      <c r="H16"/>
      <c r="I16"/>
    </row>
    <row r="17" spans="2:9" ht="12.75">
      <c r="B17" s="2"/>
      <c r="C17" s="2"/>
      <c r="D17" s="2"/>
      <c r="E17" s="2" t="s">
        <v>9</v>
      </c>
      <c r="F17" s="2"/>
      <c r="G17"/>
      <c r="H17"/>
      <c r="I17"/>
    </row>
    <row r="18" spans="2:9" ht="12.75">
      <c r="B18" s="2"/>
      <c r="C18" s="2"/>
      <c r="D18" s="2"/>
      <c r="E18" s="2" t="s">
        <v>10</v>
      </c>
      <c r="F18" s="20">
        <v>50</v>
      </c>
      <c r="G18"/>
      <c r="H18"/>
      <c r="I18"/>
    </row>
    <row r="19" spans="2:9" ht="12.75">
      <c r="B19" s="2"/>
      <c r="C19" s="2"/>
      <c r="D19"/>
      <c r="E19"/>
      <c r="F19"/>
      <c r="G19"/>
      <c r="H19"/>
      <c r="I19"/>
    </row>
  </sheetData>
  <sheetProtection sheet="1" objects="1" scenarios="1"/>
  <mergeCells count="1"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20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18" customWidth="1"/>
    <col min="2" max="2" width="31.00390625" style="18" customWidth="1"/>
    <col min="3" max="8" width="9.140625" style="18" customWidth="1"/>
    <col min="9" max="9" width="7.00390625" style="18" customWidth="1"/>
    <col min="10" max="10" width="4.8515625" style="18" customWidth="1"/>
    <col min="11" max="16384" width="9.140625" style="18" customWidth="1"/>
  </cols>
  <sheetData>
    <row r="1" ht="59.25" customHeight="1"/>
    <row r="2" spans="2:11" ht="12.75">
      <c r="B2" s="81" t="s">
        <v>143</v>
      </c>
      <c r="C2" s="81"/>
      <c r="D2" s="81"/>
      <c r="E2" s="81"/>
      <c r="F2" s="81"/>
      <c r="G2" s="81"/>
      <c r="H2" s="81"/>
      <c r="I2" s="81"/>
      <c r="J2" s="81"/>
      <c r="K2" s="19"/>
    </row>
    <row r="3" spans="2:10" ht="12.75">
      <c r="B3"/>
      <c r="C3"/>
      <c r="D3"/>
      <c r="E3"/>
      <c r="F3"/>
      <c r="G3"/>
      <c r="H3"/>
      <c r="I3"/>
      <c r="J3"/>
    </row>
    <row r="4" spans="2:10" ht="12.75">
      <c r="B4"/>
      <c r="C4" s="12">
        <v>2009</v>
      </c>
      <c r="D4" s="12">
        <f>C4+1</f>
        <v>2010</v>
      </c>
      <c r="E4" s="13">
        <v>2010</v>
      </c>
      <c r="F4" s="13">
        <v>2011</v>
      </c>
      <c r="G4" s="13">
        <v>2012</v>
      </c>
      <c r="H4" s="12">
        <v>2013</v>
      </c>
      <c r="I4"/>
      <c r="J4"/>
    </row>
    <row r="5" spans="2:10" ht="12.75">
      <c r="B5" t="s">
        <v>44</v>
      </c>
      <c r="C5" s="17">
        <f>'TABLE 19.2'!C11-'TABLE 19.2'!C24</f>
        <v>190</v>
      </c>
      <c r="D5" s="16">
        <f>($C$17/100)*'TABLE 19.8'!D5</f>
        <v>290.4</v>
      </c>
      <c r="E5" s="16">
        <f>($C$17/100)*'TABLE 19.8'!E5</f>
        <v>348.48</v>
      </c>
      <c r="F5" s="16">
        <f>($C$17/100)*'TABLE 19.8'!F5</f>
        <v>418.176</v>
      </c>
      <c r="G5" s="16">
        <f>($C$17/100)*'TABLE 19.8'!G5</f>
        <v>501.8112</v>
      </c>
      <c r="H5" s="16">
        <f>($C$17/100)*'TABLE 19.8'!H5</f>
        <v>602.17344</v>
      </c>
      <c r="I5"/>
      <c r="J5"/>
    </row>
    <row r="6" spans="2:10" ht="12.75">
      <c r="B6" t="s">
        <v>19</v>
      </c>
      <c r="C6" s="34">
        <f>'TABLE 19.2'!C16</f>
        <v>250</v>
      </c>
      <c r="D6" s="35">
        <f>($C$18/100)*'TABLE 19.8'!D5</f>
        <v>330</v>
      </c>
      <c r="E6" s="36">
        <f>($C$18/100)*'TABLE 19.8'!E5</f>
        <v>396</v>
      </c>
      <c r="F6" s="36">
        <f>($C$18/100)*'TABLE 19.8'!F5</f>
        <v>475.2</v>
      </c>
      <c r="G6" s="36">
        <f>($C$18/100)*'TABLE 19.8'!G5</f>
        <v>570.24</v>
      </c>
      <c r="H6" s="35">
        <f>($C$18/100)*'TABLE 19.8'!H5</f>
        <v>684.288</v>
      </c>
      <c r="I6"/>
      <c r="J6"/>
    </row>
    <row r="7" spans="2:10" ht="12.75">
      <c r="B7" t="s">
        <v>45</v>
      </c>
      <c r="C7" s="17">
        <f aca="true" t="shared" si="0" ref="C7:H7">SUM(C5:C6)</f>
        <v>440</v>
      </c>
      <c r="D7" s="16">
        <f t="shared" si="0"/>
        <v>620.4</v>
      </c>
      <c r="E7" s="15">
        <f t="shared" si="0"/>
        <v>744.48</v>
      </c>
      <c r="F7" s="15">
        <f t="shared" si="0"/>
        <v>893.376</v>
      </c>
      <c r="G7" s="15">
        <f t="shared" si="0"/>
        <v>1072.0511999999999</v>
      </c>
      <c r="H7" s="14">
        <f t="shared" si="0"/>
        <v>1286.46144</v>
      </c>
      <c r="I7"/>
      <c r="J7"/>
    </row>
    <row r="8" spans="2:10" ht="12.75">
      <c r="B8"/>
      <c r="C8" s="17"/>
      <c r="D8" s="16"/>
      <c r="E8" s="15"/>
      <c r="F8" s="15"/>
      <c r="G8" s="15"/>
      <c r="H8" s="14"/>
      <c r="I8"/>
      <c r="J8"/>
    </row>
    <row r="9" spans="2:10" ht="12.75">
      <c r="B9" t="s">
        <v>25</v>
      </c>
      <c r="C9" s="17">
        <f>'TABLE 19.2'!C26</f>
        <v>90</v>
      </c>
      <c r="D9" s="16">
        <f>D11-D10</f>
        <v>234.46000000000004</v>
      </c>
      <c r="E9" s="15">
        <f>E11-E10</f>
        <v>318.48120000000006</v>
      </c>
      <c r="F9" s="15">
        <f>F11-F10</f>
        <v>420.0492240000001</v>
      </c>
      <c r="G9" s="15">
        <f>G11-G10</f>
        <v>542.68828848</v>
      </c>
      <c r="H9" s="14">
        <f>H11-H10</f>
        <v>690.6277502496001</v>
      </c>
      <c r="I9"/>
      <c r="J9"/>
    </row>
    <row r="10" spans="2:10" ht="12.75">
      <c r="B10" t="s">
        <v>46</v>
      </c>
      <c r="C10" s="34">
        <f>'TABLE 19.2'!C27</f>
        <v>350</v>
      </c>
      <c r="D10" s="35">
        <f>C10+'TABLE 19.8'!D11-'TABLE 19.9'!D11</f>
        <v>385.93999999999994</v>
      </c>
      <c r="E10" s="36">
        <f>D10+'TABLE 19.8'!E11-'TABLE 19.9'!E11</f>
        <v>425.99879999999996</v>
      </c>
      <c r="F10" s="36">
        <f>E10+'TABLE 19.8'!F11-'TABLE 19.9'!F11</f>
        <v>473.3267759999999</v>
      </c>
      <c r="G10" s="36">
        <f>F10+'TABLE 19.8'!G11-'TABLE 19.9'!G11</f>
        <v>529.3629115199999</v>
      </c>
      <c r="H10" s="35">
        <f>G10+'TABLE 19.8'!H11-'TABLE 19.9'!H11</f>
        <v>595.8336897503999</v>
      </c>
      <c r="I10"/>
      <c r="J10"/>
    </row>
    <row r="11" spans="2:10" ht="12.75">
      <c r="B11" t="s">
        <v>47</v>
      </c>
      <c r="C11" s="17">
        <f aca="true" t="shared" si="1" ref="C11:H11">C7</f>
        <v>440</v>
      </c>
      <c r="D11" s="16">
        <f t="shared" si="1"/>
        <v>620.4</v>
      </c>
      <c r="E11" s="15">
        <f t="shared" si="1"/>
        <v>744.48</v>
      </c>
      <c r="F11" s="15">
        <f t="shared" si="1"/>
        <v>893.376</v>
      </c>
      <c r="G11" s="15">
        <f t="shared" si="1"/>
        <v>1072.0511999999999</v>
      </c>
      <c r="H11" s="14">
        <f t="shared" si="1"/>
        <v>1286.46144</v>
      </c>
      <c r="I11"/>
      <c r="J11"/>
    </row>
    <row r="12" spans="2:10" ht="12.75">
      <c r="B12"/>
      <c r="C12"/>
      <c r="D12"/>
      <c r="E12"/>
      <c r="F12"/>
      <c r="G12"/>
      <c r="H12"/>
      <c r="I12"/>
      <c r="J12"/>
    </row>
    <row r="13" spans="2:10" ht="12.75">
      <c r="B13" t="str">
        <f>'TABLE 19.9'!B16</f>
        <v>Revenue growth, percent</v>
      </c>
      <c r="C13">
        <f>'TABLE 19.9'!C16</f>
        <v>20</v>
      </c>
      <c r="D13"/>
      <c r="E13"/>
      <c r="F13"/>
      <c r="G13"/>
      <c r="H13"/>
      <c r="I13"/>
      <c r="J13"/>
    </row>
    <row r="14" spans="2:10" ht="12.75">
      <c r="B14" t="str">
        <f>'TABLE 19.9'!B17</f>
        <v>Costs, percent of revenues</v>
      </c>
      <c r="C14">
        <f>'TABLE 19.9'!C17</f>
        <v>92</v>
      </c>
      <c r="D14"/>
      <c r="E14"/>
      <c r="F14"/>
      <c r="G14"/>
      <c r="H14"/>
      <c r="I14"/>
      <c r="J14"/>
    </row>
    <row r="15" spans="2:10" ht="12.75">
      <c r="B15" t="str">
        <f>'TABLE 19.9'!B18</f>
        <v>Depreciation, percent of fixed assets at start of yr.</v>
      </c>
      <c r="C15">
        <f>'TABLE 19.9'!C18</f>
        <v>9</v>
      </c>
      <c r="D15"/>
      <c r="E15"/>
      <c r="F15"/>
      <c r="G15"/>
      <c r="H15"/>
      <c r="I15"/>
      <c r="J15"/>
    </row>
    <row r="16" spans="2:10" ht="12.75">
      <c r="B16" t="str">
        <f>'TABLE 19.9'!B19</f>
        <v>Interest, percent of long-term debt at start of yr.</v>
      </c>
      <c r="C16">
        <f>'TABLE 19.9'!C19</f>
        <v>10</v>
      </c>
      <c r="D16"/>
      <c r="E16"/>
      <c r="F16"/>
      <c r="G16"/>
      <c r="H16"/>
      <c r="I16"/>
      <c r="J16"/>
    </row>
    <row r="17" spans="2:10" ht="12.75">
      <c r="B17" t="str">
        <f>'TABLE 19.9'!B20</f>
        <v>Net wkg. capital, percent of revenues</v>
      </c>
      <c r="C17">
        <f>'TABLE 19.9'!C20</f>
        <v>11</v>
      </c>
      <c r="D17"/>
      <c r="E17"/>
      <c r="F17"/>
      <c r="G17"/>
      <c r="H17"/>
      <c r="I17"/>
      <c r="J17"/>
    </row>
    <row r="18" spans="2:10" ht="12.75">
      <c r="B18" t="str">
        <f>'TABLE 19.9'!B21</f>
        <v>Fixed assets, percent of revenues</v>
      </c>
      <c r="C18">
        <f>'TABLE 19.9'!C21</f>
        <v>12.5</v>
      </c>
      <c r="D18"/>
      <c r="E18"/>
      <c r="F18"/>
      <c r="G18"/>
      <c r="H18"/>
      <c r="I18"/>
      <c r="J18"/>
    </row>
    <row r="19" spans="2:10" ht="12.75">
      <c r="B19" t="str">
        <f>'TABLE 19.9'!B22</f>
        <v>Dividend, percent of net income</v>
      </c>
      <c r="C19">
        <f>'TABLE 19.9'!C22</f>
        <v>60</v>
      </c>
      <c r="D19"/>
      <c r="E19"/>
      <c r="F19"/>
      <c r="G19"/>
      <c r="H19"/>
      <c r="I19"/>
      <c r="J19"/>
    </row>
    <row r="20" spans="2:10" ht="12.75">
      <c r="B20"/>
      <c r="C20"/>
      <c r="D20"/>
      <c r="E20"/>
      <c r="F20"/>
      <c r="G20"/>
      <c r="H20"/>
      <c r="I20"/>
      <c r="J20"/>
    </row>
  </sheetData>
  <sheetProtection sheet="1" objects="1" scenarios="1"/>
  <mergeCells count="1">
    <mergeCell ref="B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7"/>
  <sheetViews>
    <sheetView workbookViewId="0" topLeftCell="A1">
      <selection activeCell="A1" sqref="A1"/>
    </sheetView>
  </sheetViews>
  <sheetFormatPr defaultColWidth="9.140625" defaultRowHeight="12.75"/>
  <cols>
    <col min="1" max="1" width="25.421875" style="18" customWidth="1"/>
    <col min="2" max="2" width="33.28125" style="18" customWidth="1"/>
    <col min="3" max="3" width="9.140625" style="18" customWidth="1"/>
    <col min="4" max="4" width="5.140625" style="18" customWidth="1"/>
    <col min="5" max="5" width="9.140625" style="18" customWidth="1"/>
    <col min="6" max="6" width="5.28125" style="18" customWidth="1"/>
    <col min="7" max="16384" width="9.140625" style="18" customWidth="1"/>
  </cols>
  <sheetData>
    <row r="2" spans="2:8" ht="12.75">
      <c r="B2" s="81" t="s">
        <v>135</v>
      </c>
      <c r="C2" s="81"/>
      <c r="D2" s="81"/>
      <c r="E2" s="81"/>
      <c r="F2" s="81"/>
      <c r="G2" s="81"/>
      <c r="H2" s="81"/>
    </row>
    <row r="3" spans="2:8" ht="12.75">
      <c r="B3" s="3"/>
      <c r="C3" s="2"/>
      <c r="D3" s="2"/>
      <c r="E3" s="2"/>
      <c r="F3" s="2"/>
      <c r="G3" s="2"/>
      <c r="H3" s="2"/>
    </row>
    <row r="4" spans="2:8" ht="12.75">
      <c r="B4" s="2"/>
      <c r="C4" s="5">
        <v>40148</v>
      </c>
      <c r="D4" s="6"/>
      <c r="E4" s="5">
        <v>39783</v>
      </c>
      <c r="F4" s="7"/>
      <c r="G4" s="6" t="s">
        <v>28</v>
      </c>
      <c r="H4" s="2"/>
    </row>
    <row r="5" spans="2:8" ht="12.75">
      <c r="B5" s="3" t="s">
        <v>11</v>
      </c>
      <c r="C5" s="2"/>
      <c r="D5" s="2"/>
      <c r="E5" s="2"/>
      <c r="F5" s="2"/>
      <c r="G5" s="2"/>
      <c r="H5" s="2"/>
    </row>
    <row r="6" spans="2:8" ht="12.75">
      <c r="B6" s="2" t="s">
        <v>12</v>
      </c>
      <c r="C6" s="2"/>
      <c r="D6" s="2"/>
      <c r="E6" s="2"/>
      <c r="F6" s="2"/>
      <c r="G6" s="2"/>
      <c r="H6" s="2"/>
    </row>
    <row r="7" spans="2:8" ht="12.75">
      <c r="B7" s="2" t="s">
        <v>49</v>
      </c>
      <c r="C7" s="20">
        <v>25</v>
      </c>
      <c r="D7" s="2"/>
      <c r="E7" s="20">
        <v>20</v>
      </c>
      <c r="F7" s="2"/>
      <c r="G7" s="2">
        <f>C7-E7</f>
        <v>5</v>
      </c>
      <c r="H7" s="2"/>
    </row>
    <row r="8" spans="2:8" ht="12.75">
      <c r="B8" s="2" t="s">
        <v>50</v>
      </c>
      <c r="C8" s="20">
        <v>25</v>
      </c>
      <c r="D8" s="2"/>
      <c r="E8" s="20">
        <v>0</v>
      </c>
      <c r="F8" s="2"/>
      <c r="G8" s="2">
        <f>C8-E8</f>
        <v>25</v>
      </c>
      <c r="H8" s="2"/>
    </row>
    <row r="9" spans="2:8" ht="12.75">
      <c r="B9" s="2" t="s">
        <v>14</v>
      </c>
      <c r="C9" s="20">
        <v>150</v>
      </c>
      <c r="D9" s="2"/>
      <c r="E9" s="20">
        <v>125</v>
      </c>
      <c r="F9" s="2"/>
      <c r="G9" s="2">
        <f>+E9-C9</f>
        <v>-25</v>
      </c>
      <c r="H9" s="2"/>
    </row>
    <row r="10" spans="2:8" ht="13.5" thickBot="1">
      <c r="B10" s="2" t="s">
        <v>15</v>
      </c>
      <c r="C10" s="25">
        <v>125</v>
      </c>
      <c r="D10" s="2"/>
      <c r="E10" s="25">
        <v>130</v>
      </c>
      <c r="F10" s="2"/>
      <c r="G10" s="2">
        <f>C10-E10</f>
        <v>-5</v>
      </c>
      <c r="H10" s="2"/>
    </row>
    <row r="11" spans="2:8" ht="12.75">
      <c r="B11" s="2" t="s">
        <v>13</v>
      </c>
      <c r="C11" s="2">
        <f>SUM(C7:C10)</f>
        <v>325</v>
      </c>
      <c r="D11" s="2"/>
      <c r="E11" s="2">
        <f>SUM(E7:E10)</f>
        <v>275</v>
      </c>
      <c r="F11" s="2"/>
      <c r="G11" s="2">
        <f>C11-E11</f>
        <v>50</v>
      </c>
      <c r="H11" s="2"/>
    </row>
    <row r="12" spans="2:8" ht="12.75">
      <c r="B12" s="2"/>
      <c r="C12" s="2"/>
      <c r="D12" s="2"/>
      <c r="E12" s="2"/>
      <c r="F12" s="2"/>
      <c r="G12" s="2"/>
      <c r="H12" s="2"/>
    </row>
    <row r="13" spans="2:8" ht="12.75">
      <c r="B13" s="2" t="s">
        <v>16</v>
      </c>
      <c r="C13" s="2"/>
      <c r="D13" s="2"/>
      <c r="E13" s="2"/>
      <c r="F13" s="2"/>
      <c r="G13" s="2"/>
      <c r="H13" s="2"/>
    </row>
    <row r="14" spans="2:8" ht="12.75">
      <c r="B14" s="2" t="s">
        <v>17</v>
      </c>
      <c r="C14" s="20">
        <v>350</v>
      </c>
      <c r="D14" s="2"/>
      <c r="E14" s="72">
        <v>320</v>
      </c>
      <c r="F14" s="2"/>
      <c r="G14" s="2">
        <f>C14-E14</f>
        <v>30</v>
      </c>
      <c r="H14" s="2"/>
    </row>
    <row r="15" spans="2:8" ht="13.5" thickBot="1">
      <c r="B15" s="8" t="s">
        <v>18</v>
      </c>
      <c r="C15" s="25">
        <v>100</v>
      </c>
      <c r="D15" s="2"/>
      <c r="E15" s="25">
        <v>80</v>
      </c>
      <c r="F15" s="2"/>
      <c r="G15" s="2">
        <f>C15-E15</f>
        <v>20</v>
      </c>
      <c r="H15" s="2"/>
    </row>
    <row r="16" spans="2:8" ht="13.5" thickBot="1">
      <c r="B16" s="2" t="s">
        <v>19</v>
      </c>
      <c r="C16" s="67">
        <f>C14-C15</f>
        <v>250</v>
      </c>
      <c r="D16" s="2"/>
      <c r="E16" s="67">
        <f>E14-E15</f>
        <v>240</v>
      </c>
      <c r="F16" s="2"/>
      <c r="G16" s="2">
        <f>C16-E16</f>
        <v>10</v>
      </c>
      <c r="H16" s="2"/>
    </row>
    <row r="17" spans="2:8" ht="12.75">
      <c r="B17" s="2" t="s">
        <v>20</v>
      </c>
      <c r="C17" s="21">
        <f>C11+C16</f>
        <v>575</v>
      </c>
      <c r="D17" s="2"/>
      <c r="E17" s="4">
        <f>E11+E16</f>
        <v>515</v>
      </c>
      <c r="F17" s="2"/>
      <c r="G17" s="2">
        <f>C17-E17</f>
        <v>60</v>
      </c>
      <c r="H17" s="2"/>
    </row>
    <row r="18" spans="2:8" ht="12.75">
      <c r="B18" s="2"/>
      <c r="C18" s="2"/>
      <c r="D18" s="2"/>
      <c r="E18" s="2"/>
      <c r="F18" s="2"/>
      <c r="G18" s="2"/>
      <c r="H18" s="2"/>
    </row>
    <row r="19" spans="2:8" ht="12.75">
      <c r="B19" s="2"/>
      <c r="C19" s="5">
        <v>40148</v>
      </c>
      <c r="D19" s="6"/>
      <c r="E19" s="5">
        <v>39783</v>
      </c>
      <c r="F19" s="7"/>
      <c r="G19" s="6" t="s">
        <v>28</v>
      </c>
      <c r="H19" s="2"/>
    </row>
    <row r="20" spans="2:8" ht="12.75">
      <c r="B20" s="3" t="s">
        <v>21</v>
      </c>
      <c r="C20" s="2"/>
      <c r="D20" s="2"/>
      <c r="E20" s="2"/>
      <c r="F20" s="2"/>
      <c r="G20" s="2"/>
      <c r="H20" s="2"/>
    </row>
    <row r="21" spans="2:8" ht="12.75">
      <c r="B21" s="2" t="s">
        <v>22</v>
      </c>
      <c r="C21" s="2"/>
      <c r="D21" s="2"/>
      <c r="E21" s="2"/>
      <c r="F21" s="2"/>
      <c r="G21" s="2"/>
      <c r="H21" s="2"/>
    </row>
    <row r="22" spans="2:8" ht="12.75">
      <c r="B22" s="2" t="s">
        <v>23</v>
      </c>
      <c r="C22" s="2">
        <v>0</v>
      </c>
      <c r="D22" s="2"/>
      <c r="E22" s="2">
        <v>25</v>
      </c>
      <c r="F22" s="2"/>
      <c r="G22" s="2">
        <f>C22-E22</f>
        <v>-25</v>
      </c>
      <c r="H22" s="2"/>
    </row>
    <row r="23" spans="2:8" ht="13.5" thickBot="1">
      <c r="B23" s="2" t="s">
        <v>24</v>
      </c>
      <c r="C23" s="66">
        <v>135</v>
      </c>
      <c r="D23" s="2"/>
      <c r="E23" s="66">
        <v>110</v>
      </c>
      <c r="F23" s="2"/>
      <c r="G23" s="2">
        <f>C23-E23</f>
        <v>25</v>
      </c>
      <c r="H23" s="2"/>
    </row>
    <row r="24" spans="2:8" ht="12.75">
      <c r="B24" s="2" t="s">
        <v>29</v>
      </c>
      <c r="C24" s="2">
        <f>SUM(C22:C23)</f>
        <v>135</v>
      </c>
      <c r="D24" s="2"/>
      <c r="E24" s="2">
        <f>SUM(E22:E23)</f>
        <v>135</v>
      </c>
      <c r="F24" s="2"/>
      <c r="G24" s="2">
        <f>C24-E24</f>
        <v>0</v>
      </c>
      <c r="H24" s="2"/>
    </row>
    <row r="25" spans="2:8" ht="12.75">
      <c r="B25" s="2"/>
      <c r="C25" s="2"/>
      <c r="D25" s="2"/>
      <c r="E25" s="2"/>
      <c r="F25" s="2"/>
      <c r="G25" s="2"/>
      <c r="H25" s="2"/>
    </row>
    <row r="26" spans="2:8" ht="12.75">
      <c r="B26" s="2" t="s">
        <v>25</v>
      </c>
      <c r="C26" s="2">
        <v>90</v>
      </c>
      <c r="D26" s="2"/>
      <c r="E26" s="2">
        <v>60</v>
      </c>
      <c r="F26" s="2"/>
      <c r="G26" s="2">
        <f>C26-E26</f>
        <v>30</v>
      </c>
      <c r="H26" s="2"/>
    </row>
    <row r="27" spans="2:8" ht="13.5" thickBot="1">
      <c r="B27" s="2" t="s">
        <v>26</v>
      </c>
      <c r="C27" s="66">
        <v>350</v>
      </c>
      <c r="D27" s="2"/>
      <c r="E27" s="66">
        <v>320</v>
      </c>
      <c r="F27" s="2"/>
      <c r="G27" s="2">
        <f>C27-E27</f>
        <v>30</v>
      </c>
      <c r="H27" s="2"/>
    </row>
    <row r="28" spans="2:8" ht="12.75">
      <c r="B28" s="2" t="s">
        <v>27</v>
      </c>
      <c r="C28" s="2">
        <f>SUM(C24:C27)</f>
        <v>575</v>
      </c>
      <c r="D28" s="2"/>
      <c r="E28" s="2">
        <f>SUM(E24:E27)</f>
        <v>515</v>
      </c>
      <c r="F28" s="2"/>
      <c r="G28" s="2">
        <f>C28-E28</f>
        <v>60</v>
      </c>
      <c r="H28" s="2"/>
    </row>
    <row r="29" spans="2:8" ht="12.75">
      <c r="B29"/>
      <c r="C29"/>
      <c r="D29"/>
      <c r="E29"/>
      <c r="F29"/>
      <c r="G29"/>
      <c r="H29"/>
    </row>
    <row r="35" ht="12.75">
      <c r="C35" s="69"/>
    </row>
    <row r="37" ht="12.75">
      <c r="C37" s="69"/>
    </row>
  </sheetData>
  <sheetProtection sheet="1" objects="1" scenarios="1"/>
  <mergeCells count="1">
    <mergeCell ref="B2:H2"/>
  </mergeCells>
  <dataValidations count="2">
    <dataValidation type="whole" allowBlank="1" showInputMessage="1" showErrorMessage="1" sqref="C37">
      <formula1>0</formula1>
      <formula2>100</formula2>
    </dataValidation>
    <dataValidation type="whole" allowBlank="1" showInputMessage="1" showErrorMessage="1" sqref="C35">
      <formula1>0</formula1>
      <formula2>1000</formula2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2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18" customWidth="1"/>
    <col min="2" max="2" width="7.421875" style="0" customWidth="1"/>
    <col min="4" max="4" width="38.57421875" style="0" customWidth="1"/>
    <col min="6" max="6" width="5.57421875" style="0" customWidth="1"/>
    <col min="7" max="7" width="7.57421875" style="0" customWidth="1"/>
    <col min="8" max="8" width="7.140625" style="0" customWidth="1"/>
    <col min="9" max="9" width="3.8515625" style="0" customWidth="1"/>
    <col min="10" max="26" width="9.140625" style="18" customWidth="1"/>
  </cols>
  <sheetData>
    <row r="1" spans="2:9" ht="12.75">
      <c r="B1" s="18"/>
      <c r="C1" s="18"/>
      <c r="D1" s="18"/>
      <c r="E1" s="18"/>
      <c r="F1" s="18"/>
      <c r="G1" s="18"/>
      <c r="H1" s="18"/>
      <c r="I1" s="18"/>
    </row>
    <row r="2" spans="2:9" ht="12.75">
      <c r="B2" s="81" t="s">
        <v>136</v>
      </c>
      <c r="C2" s="82"/>
      <c r="D2" s="82"/>
      <c r="E2" s="82"/>
      <c r="F2" s="82"/>
      <c r="G2" s="82"/>
      <c r="H2" s="82"/>
      <c r="I2" s="82"/>
    </row>
    <row r="4" ht="12" customHeight="1">
      <c r="D4" t="s">
        <v>117</v>
      </c>
    </row>
    <row r="5" spans="4:5" ht="12.75">
      <c r="D5" t="s">
        <v>51</v>
      </c>
      <c r="E5" s="10">
        <f>'TABLE 19.1'!F12</f>
        <v>60</v>
      </c>
    </row>
    <row r="6" spans="4:5" ht="12.75">
      <c r="D6" t="s">
        <v>52</v>
      </c>
      <c r="E6" s="10">
        <f>'TABLE 19.1'!F7</f>
        <v>20</v>
      </c>
    </row>
    <row r="7" spans="4:5" ht="12.75">
      <c r="D7" t="s">
        <v>113</v>
      </c>
      <c r="E7" s="10">
        <f>'TABLE 19.2'!G9</f>
        <v>-25</v>
      </c>
    </row>
    <row r="8" spans="4:5" ht="12.75">
      <c r="D8" t="s">
        <v>114</v>
      </c>
      <c r="E8" s="10">
        <f>-'TABLE 19.2'!G10</f>
        <v>5</v>
      </c>
    </row>
    <row r="9" spans="4:5" ht="13.5" thickBot="1">
      <c r="D9" t="s">
        <v>115</v>
      </c>
      <c r="E9" s="68">
        <f>'TABLE 19.2'!G23</f>
        <v>25</v>
      </c>
    </row>
    <row r="10" spans="4:5" ht="12.75">
      <c r="D10" t="s">
        <v>116</v>
      </c>
      <c r="E10" s="10">
        <f>SUM(E5:E9)</f>
        <v>85</v>
      </c>
    </row>
    <row r="11" ht="12.75">
      <c r="E11" s="10"/>
    </row>
    <row r="12" spans="4:5" ht="12.75">
      <c r="D12" t="s">
        <v>118</v>
      </c>
      <c r="E12" s="10"/>
    </row>
    <row r="13" spans="4:5" ht="12.75">
      <c r="D13" t="s">
        <v>119</v>
      </c>
      <c r="E13" s="10">
        <f>('TABLE 19.2'!E14-'TABLE 19.2'!C14)</f>
        <v>-30</v>
      </c>
    </row>
    <row r="14" ht="12.75">
      <c r="E14" s="10"/>
    </row>
    <row r="15" ht="12.75">
      <c r="D15" t="s">
        <v>120</v>
      </c>
    </row>
    <row r="16" spans="4:5" ht="12.75">
      <c r="D16" t="s">
        <v>121</v>
      </c>
      <c r="E16" s="10">
        <f>-'TABLE 19.1'!F14</f>
        <v>-30</v>
      </c>
    </row>
    <row r="17" spans="4:5" ht="12.75">
      <c r="D17" t="s">
        <v>122</v>
      </c>
      <c r="E17" s="10">
        <f>-'TABLE 19.2'!G8</f>
        <v>-25</v>
      </c>
    </row>
    <row r="18" spans="4:5" ht="12.75">
      <c r="D18" t="s">
        <v>123</v>
      </c>
      <c r="E18" s="10">
        <f>'TABLE 19.2'!G26</f>
        <v>30</v>
      </c>
    </row>
    <row r="19" spans="4:5" ht="13.5" thickBot="1">
      <c r="D19" t="s">
        <v>124</v>
      </c>
      <c r="E19" s="68">
        <f>'TABLE 19.2'!G22</f>
        <v>-25</v>
      </c>
    </row>
    <row r="20" spans="4:5" ht="12.75">
      <c r="D20" t="s">
        <v>125</v>
      </c>
      <c r="E20" s="10">
        <f>SUM(E16:E19)</f>
        <v>-50</v>
      </c>
    </row>
    <row r="21" ht="12.75">
      <c r="E21" s="10"/>
    </row>
    <row r="22" spans="4:5" ht="12.75">
      <c r="D22" t="s">
        <v>48</v>
      </c>
      <c r="E22" s="10">
        <f>E10+E13+E20</f>
        <v>5</v>
      </c>
    </row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</sheetData>
  <sheetProtection sheet="1" objects="1" scenarios="1"/>
  <mergeCells count="1">
    <mergeCell ref="B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7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18" customWidth="1"/>
    <col min="4" max="4" width="15.57421875" style="0" customWidth="1"/>
    <col min="11" max="31" width="9.140625" style="18" customWidth="1"/>
  </cols>
  <sheetData>
    <row r="1" spans="2:10" ht="48" customHeight="1">
      <c r="B1" s="18"/>
      <c r="C1" s="18"/>
      <c r="D1" s="18"/>
      <c r="E1" s="18"/>
      <c r="F1" s="18"/>
      <c r="G1" s="18"/>
      <c r="H1" s="18"/>
      <c r="I1" s="18"/>
      <c r="J1" s="18"/>
    </row>
    <row r="2" spans="2:10" ht="12.75">
      <c r="B2" s="81" t="s">
        <v>137</v>
      </c>
      <c r="C2" s="81"/>
      <c r="D2" s="81"/>
      <c r="E2" s="81"/>
      <c r="F2" s="81"/>
      <c r="G2" s="81"/>
      <c r="H2" s="81"/>
      <c r="I2" s="81"/>
      <c r="J2" s="83"/>
    </row>
    <row r="3" spans="2:10" ht="12.75">
      <c r="B3" s="81" t="s">
        <v>101</v>
      </c>
      <c r="C3" s="81"/>
      <c r="D3" s="81"/>
      <c r="E3" s="81"/>
      <c r="F3" s="81"/>
      <c r="G3" s="81"/>
      <c r="H3" s="81"/>
      <c r="I3" s="81"/>
      <c r="J3" s="83"/>
    </row>
    <row r="5" spans="5:8" ht="12.75">
      <c r="E5" s="22" t="s">
        <v>53</v>
      </c>
      <c r="F5" s="22" t="s">
        <v>54</v>
      </c>
      <c r="G5" s="22" t="s">
        <v>55</v>
      </c>
      <c r="H5" s="22" t="s">
        <v>56</v>
      </c>
    </row>
    <row r="6" spans="5:8" ht="13.5" thickBot="1">
      <c r="E6" s="23" t="s">
        <v>57</v>
      </c>
      <c r="F6" s="23" t="s">
        <v>57</v>
      </c>
      <c r="G6" s="23" t="s">
        <v>57</v>
      </c>
      <c r="H6" s="23" t="s">
        <v>57</v>
      </c>
    </row>
    <row r="7" spans="2:8" ht="12.75">
      <c r="B7" t="s">
        <v>102</v>
      </c>
      <c r="E7" s="33">
        <f>'TABLE 19.2'!C9</f>
        <v>150</v>
      </c>
      <c r="F7" s="29">
        <f>+E13</f>
        <v>199</v>
      </c>
      <c r="G7">
        <f>+F13</f>
        <v>-320.4</v>
      </c>
      <c r="H7">
        <f>+G13</f>
        <v>-248.39999999999998</v>
      </c>
    </row>
    <row r="8" spans="2:8" ht="12.75">
      <c r="B8" t="s">
        <v>103</v>
      </c>
      <c r="E8">
        <f>87.5*6.4</f>
        <v>560</v>
      </c>
      <c r="F8">
        <v>502</v>
      </c>
      <c r="G8">
        <f>742</f>
        <v>742</v>
      </c>
      <c r="H8">
        <v>836</v>
      </c>
    </row>
    <row r="9" ht="12.75">
      <c r="B9" t="s">
        <v>104</v>
      </c>
    </row>
    <row r="10" spans="2:8" ht="12.75">
      <c r="B10" t="s">
        <v>105</v>
      </c>
      <c r="E10">
        <f>($E$16/100)*E8</f>
        <v>392</v>
      </c>
      <c r="F10">
        <f>($E$16/100)*F8</f>
        <v>351.4</v>
      </c>
      <c r="G10">
        <f>($E$16/100)*G8</f>
        <v>519.4</v>
      </c>
      <c r="H10">
        <f>($E$16/100)*H8</f>
        <v>585.1999999999999</v>
      </c>
    </row>
    <row r="11" spans="2:8" ht="12.75">
      <c r="B11" t="s">
        <v>106</v>
      </c>
      <c r="E11" s="73">
        <v>119</v>
      </c>
      <c r="F11">
        <f>($E$17/100)*E8</f>
        <v>168</v>
      </c>
      <c r="G11" s="10">
        <f>($E$17/100)*F8</f>
        <v>150.6</v>
      </c>
      <c r="H11">
        <f>($E$17/100)*G8</f>
        <v>222.6</v>
      </c>
    </row>
    <row r="12" spans="2:8" ht="12.75">
      <c r="B12" t="s">
        <v>107</v>
      </c>
      <c r="E12">
        <f>SUM(E10:E11)</f>
        <v>511</v>
      </c>
      <c r="F12">
        <f>SUM(F10:F11)</f>
        <v>519.4</v>
      </c>
      <c r="G12" s="10">
        <f>SUM(G10:G11)</f>
        <v>670</v>
      </c>
      <c r="H12">
        <f>SUM(H10:H11)</f>
        <v>807.8</v>
      </c>
    </row>
    <row r="13" spans="2:8" ht="12.75">
      <c r="B13" t="s">
        <v>108</v>
      </c>
      <c r="E13">
        <f>+E7+E8-E12</f>
        <v>199</v>
      </c>
      <c r="F13" s="10">
        <f>+F7+F20-F12</f>
        <v>-320.4</v>
      </c>
      <c r="G13" s="10">
        <f>+G7+G8-G12</f>
        <v>-248.39999999999998</v>
      </c>
      <c r="H13" s="10">
        <f>+H7+H8-H12</f>
        <v>-220.19999999999993</v>
      </c>
    </row>
    <row r="15" ht="12.75">
      <c r="B15" t="s">
        <v>9</v>
      </c>
    </row>
    <row r="16" spans="2:5" ht="12.75">
      <c r="B16" t="s">
        <v>109</v>
      </c>
      <c r="E16" s="73">
        <v>70</v>
      </c>
    </row>
    <row r="17" spans="2:5" ht="12.75">
      <c r="B17" t="s">
        <v>110</v>
      </c>
      <c r="E17" s="30">
        <f>100-E16</f>
        <v>30</v>
      </c>
    </row>
    <row r="19" s="18" customFormat="1" ht="12.75"/>
    <row r="20" s="18" customFormat="1" ht="12.75"/>
    <row r="21" s="18" customFormat="1" ht="12.75"/>
    <row r="22" s="18" customFormat="1" ht="12.75"/>
    <row r="23" s="18" customFormat="1" ht="12.75"/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</sheetData>
  <sheetProtection sheet="1" objects="1" scenarios="1"/>
  <mergeCells count="2">
    <mergeCell ref="B2:J2"/>
    <mergeCell ref="B3:J3"/>
  </mergeCells>
  <dataValidations count="1">
    <dataValidation type="decimal" operator="greaterThanOrEqual" allowBlank="1" showInputMessage="1" showErrorMessage="1" sqref="E16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0"/>
  <sheetViews>
    <sheetView workbookViewId="0" topLeftCell="A1">
      <selection activeCell="A1" sqref="A1"/>
    </sheetView>
  </sheetViews>
  <sheetFormatPr defaultColWidth="9.140625" defaultRowHeight="12.75"/>
  <cols>
    <col min="1" max="1" width="25.28125" style="18" customWidth="1"/>
    <col min="2" max="2" width="35.421875" style="0" customWidth="1"/>
    <col min="8" max="23" width="9.140625" style="18" customWidth="1"/>
  </cols>
  <sheetData>
    <row r="1" spans="2:7" ht="12.75">
      <c r="B1" s="18"/>
      <c r="C1" s="18"/>
      <c r="D1" s="18"/>
      <c r="E1" s="18"/>
      <c r="F1" s="18"/>
      <c r="G1" s="18"/>
    </row>
    <row r="2" spans="2:7" ht="12.75">
      <c r="B2" s="81" t="s">
        <v>138</v>
      </c>
      <c r="C2" s="81"/>
      <c r="D2" s="81"/>
      <c r="E2" s="81"/>
      <c r="F2" s="81"/>
      <c r="G2" s="81"/>
    </row>
    <row r="4" spans="3:6" ht="12.75">
      <c r="C4" s="22" t="s">
        <v>53</v>
      </c>
      <c r="D4" s="22" t="s">
        <v>54</v>
      </c>
      <c r="E4" s="22" t="s">
        <v>55</v>
      </c>
      <c r="F4" s="22" t="s">
        <v>56</v>
      </c>
    </row>
    <row r="5" spans="3:6" ht="13.5" thickBot="1">
      <c r="C5" s="23" t="s">
        <v>57</v>
      </c>
      <c r="D5" s="23" t="s">
        <v>57</v>
      </c>
      <c r="E5" s="23" t="s">
        <v>57</v>
      </c>
      <c r="F5" s="23" t="s">
        <v>57</v>
      </c>
    </row>
    <row r="6" ht="12.75">
      <c r="B6" s="1" t="s">
        <v>58</v>
      </c>
    </row>
    <row r="7" spans="2:6" ht="12.75">
      <c r="B7" t="s">
        <v>59</v>
      </c>
      <c r="C7">
        <f>'TABLE 19.4'!E12</f>
        <v>511</v>
      </c>
      <c r="D7">
        <f>'TABLE 19.4'!F12</f>
        <v>519.4</v>
      </c>
      <c r="E7">
        <f>'TABLE 19.4'!G12</f>
        <v>670</v>
      </c>
      <c r="F7">
        <f>'TABLE 19.4'!H12</f>
        <v>807.8</v>
      </c>
    </row>
    <row r="8" spans="2:6" ht="13.5" thickBot="1">
      <c r="B8" t="s">
        <v>60</v>
      </c>
      <c r="C8" s="24">
        <v>0</v>
      </c>
      <c r="D8" s="24">
        <v>0</v>
      </c>
      <c r="E8" s="24">
        <v>77</v>
      </c>
      <c r="F8" s="24">
        <v>0</v>
      </c>
    </row>
    <row r="9" spans="2:6" ht="12.75">
      <c r="B9" t="s">
        <v>61</v>
      </c>
      <c r="C9">
        <f>C7+C8</f>
        <v>511</v>
      </c>
      <c r="D9">
        <f>D7+D8</f>
        <v>519.4</v>
      </c>
      <c r="E9">
        <f>E7+E8</f>
        <v>747</v>
      </c>
      <c r="F9">
        <f>F7+F8</f>
        <v>807.8</v>
      </c>
    </row>
    <row r="11" ht="12.75">
      <c r="B11" s="1" t="s">
        <v>62</v>
      </c>
    </row>
    <row r="12" spans="2:6" ht="12.75">
      <c r="B12" t="s">
        <v>63</v>
      </c>
      <c r="C12" s="20">
        <v>250</v>
      </c>
      <c r="D12" s="20">
        <v>250</v>
      </c>
      <c r="E12" s="20">
        <v>267</v>
      </c>
      <c r="F12" s="20">
        <v>261</v>
      </c>
    </row>
    <row r="13" spans="2:6" ht="12.75">
      <c r="B13" t="s">
        <v>112</v>
      </c>
      <c r="C13" s="20">
        <v>150</v>
      </c>
      <c r="D13" s="20">
        <v>150</v>
      </c>
      <c r="E13" s="20">
        <v>170</v>
      </c>
      <c r="F13" s="20">
        <v>180</v>
      </c>
    </row>
    <row r="14" spans="2:6" ht="12.75">
      <c r="B14" t="s">
        <v>64</v>
      </c>
      <c r="C14" s="20">
        <v>136</v>
      </c>
      <c r="D14" s="20">
        <f>C14</f>
        <v>136</v>
      </c>
      <c r="E14" s="20">
        <f>D14</f>
        <v>136</v>
      </c>
      <c r="F14" s="20">
        <f>E14</f>
        <v>136</v>
      </c>
    </row>
    <row r="15" spans="2:6" ht="12.75">
      <c r="B15" t="s">
        <v>65</v>
      </c>
      <c r="C15" s="20">
        <v>70</v>
      </c>
      <c r="D15" s="20">
        <v>10</v>
      </c>
      <c r="E15" s="20">
        <v>8</v>
      </c>
      <c r="F15" s="20">
        <v>14.5</v>
      </c>
    </row>
    <row r="16" spans="2:8" ht="13.5" thickBot="1">
      <c r="B16" t="s">
        <v>66</v>
      </c>
      <c r="C16" s="25">
        <v>46</v>
      </c>
      <c r="D16" s="25">
        <v>46</v>
      </c>
      <c r="E16" s="25">
        <v>46</v>
      </c>
      <c r="F16" s="25">
        <v>46</v>
      </c>
      <c r="G16" s="32"/>
      <c r="H16" s="62"/>
    </row>
    <row r="17" spans="3:8" ht="12.75">
      <c r="C17" s="32"/>
      <c r="D17" s="32"/>
      <c r="E17" s="32"/>
      <c r="F17" s="32"/>
      <c r="G17" s="32"/>
      <c r="H17" s="62"/>
    </row>
    <row r="18" spans="2:6" ht="12.75">
      <c r="B18" t="s">
        <v>67</v>
      </c>
      <c r="C18">
        <f>SUM(C12:C16)</f>
        <v>652</v>
      </c>
      <c r="D18">
        <f>SUM(D12:D16)</f>
        <v>592</v>
      </c>
      <c r="E18">
        <f>SUM(E12:E16)</f>
        <v>627</v>
      </c>
      <c r="F18">
        <f>SUM(F12:F16)</f>
        <v>637.5</v>
      </c>
    </row>
    <row r="19" ht="13.5" thickBot="1"/>
    <row r="20" spans="2:7" ht="13.5" thickBot="1">
      <c r="B20" s="26" t="s">
        <v>68</v>
      </c>
      <c r="C20" s="27">
        <f>+C9-C18</f>
        <v>-141</v>
      </c>
      <c r="D20" s="27">
        <f>+D9-D18</f>
        <v>-72.60000000000002</v>
      </c>
      <c r="E20" s="27">
        <f>+E9-E18</f>
        <v>120</v>
      </c>
      <c r="F20" s="28">
        <f>+F9-F18</f>
        <v>170.29999999999995</v>
      </c>
      <c r="G20" s="31"/>
    </row>
    <row r="22" ht="12.75">
      <c r="B22" s="1" t="s">
        <v>69</v>
      </c>
    </row>
    <row r="23" spans="2:6" ht="12.75">
      <c r="B23" t="s">
        <v>70</v>
      </c>
      <c r="C23">
        <f>'TABLE 19.2'!C7</f>
        <v>25</v>
      </c>
      <c r="D23">
        <f>C25</f>
        <v>-116</v>
      </c>
      <c r="E23">
        <f>D25</f>
        <v>-188.60000000000002</v>
      </c>
      <c r="F23">
        <f>E25</f>
        <v>-68.60000000000002</v>
      </c>
    </row>
    <row r="24" spans="2:6" ht="12.75">
      <c r="B24" t="s">
        <v>71</v>
      </c>
      <c r="C24">
        <f>+C20</f>
        <v>-141</v>
      </c>
      <c r="D24">
        <f>+D20</f>
        <v>-72.60000000000002</v>
      </c>
      <c r="E24">
        <f>+E20</f>
        <v>120</v>
      </c>
      <c r="F24">
        <f>+F20</f>
        <v>170.29999999999995</v>
      </c>
    </row>
    <row r="25" spans="2:6" ht="12.75">
      <c r="B25" t="s">
        <v>72</v>
      </c>
      <c r="C25">
        <f>+C24+C23</f>
        <v>-116</v>
      </c>
      <c r="D25">
        <f>+D24+D23</f>
        <v>-188.60000000000002</v>
      </c>
      <c r="E25">
        <f>+E24+E23</f>
        <v>-68.60000000000002</v>
      </c>
      <c r="F25">
        <f>+F24+F23</f>
        <v>101.69999999999993</v>
      </c>
    </row>
    <row r="26" spans="2:6" ht="12.75">
      <c r="B26" t="s">
        <v>73</v>
      </c>
      <c r="C26" s="20">
        <v>25</v>
      </c>
      <c r="D26" s="20">
        <f>C26</f>
        <v>25</v>
      </c>
      <c r="E26" s="20">
        <f>D26</f>
        <v>25</v>
      </c>
      <c r="F26" s="20">
        <f>E26</f>
        <v>25</v>
      </c>
    </row>
    <row r="27" spans="2:6" ht="12.75">
      <c r="B27" t="s">
        <v>74</v>
      </c>
      <c r="C27">
        <f>-C25+C26</f>
        <v>141</v>
      </c>
      <c r="D27">
        <f>-D25+D26</f>
        <v>213.60000000000002</v>
      </c>
      <c r="E27">
        <f>-E25+E26</f>
        <v>93.60000000000002</v>
      </c>
      <c r="F27">
        <f>-F25+F26</f>
        <v>-76.69999999999993</v>
      </c>
    </row>
    <row r="29" s="63" customFormat="1" ht="12.75"/>
    <row r="30" s="63" customFormat="1" ht="12.75"/>
    <row r="31" s="63" customFormat="1" ht="12.75"/>
    <row r="32" s="63" customFormat="1" ht="12.75"/>
    <row r="33" s="63" customFormat="1" ht="12.75"/>
    <row r="34" s="63" customFormat="1" ht="12.75"/>
    <row r="35" s="63" customFormat="1" ht="12.75"/>
    <row r="36" s="63" customFormat="1" ht="12.75"/>
    <row r="37" s="63" customFormat="1" ht="12.75"/>
    <row r="38" s="63" customFormat="1" ht="12.75"/>
    <row r="39" s="63" customFormat="1" ht="12.75"/>
    <row r="40" s="63" customFormat="1" ht="12.75"/>
    <row r="41" s="63" customFormat="1" ht="12.75"/>
    <row r="42" s="63" customFormat="1" ht="12.75"/>
    <row r="43" s="63" customFormat="1" ht="12.75"/>
    <row r="44" s="63" customFormat="1" ht="12.75"/>
    <row r="45" s="63" customFormat="1" ht="12.75"/>
    <row r="46" s="63" customFormat="1" ht="12.75"/>
    <row r="47" s="63" customFormat="1" ht="12.75"/>
    <row r="48" s="63" customFormat="1" ht="12.75"/>
    <row r="49" s="63" customFormat="1" ht="12.75"/>
    <row r="50" s="63" customFormat="1" ht="12.75"/>
    <row r="51" s="63" customFormat="1" ht="12.75"/>
    <row r="52" s="63" customFormat="1" ht="12.75"/>
    <row r="53" s="63" customFormat="1" ht="12.75"/>
    <row r="54" s="63" customFormat="1" ht="12.75"/>
    <row r="55" s="63" customFormat="1" ht="12.75"/>
    <row r="56" s="63" customFormat="1" ht="12.75"/>
    <row r="57" s="63" customFormat="1" ht="12.75"/>
    <row r="58" s="63" customFormat="1" ht="12.75"/>
    <row r="59" s="63" customFormat="1" ht="12.75"/>
    <row r="60" s="63" customFormat="1" ht="12.75"/>
    <row r="61" s="63" customFormat="1" ht="12.75"/>
    <row r="62" s="63" customFormat="1" ht="12.75"/>
    <row r="63" s="63" customFormat="1" ht="12.75"/>
    <row r="64" s="63" customFormat="1" ht="12.75"/>
    <row r="65" s="63" customFormat="1" ht="12.75"/>
    <row r="66" s="63" customFormat="1" ht="12.75"/>
    <row r="67" s="63" customFormat="1" ht="12.75"/>
    <row r="68" s="63" customFormat="1" ht="12.75"/>
    <row r="69" s="63" customFormat="1" ht="12.75"/>
    <row r="70" s="63" customFormat="1" ht="12.75"/>
    <row r="71" s="63" customFormat="1" ht="12.75"/>
    <row r="72" spans="1:23" s="64" customFormat="1" ht="12.75">
      <c r="A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</row>
    <row r="73" spans="1:23" s="64" customFormat="1" ht="12.75">
      <c r="A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</row>
    <row r="74" spans="1:23" s="64" customFormat="1" ht="12.75">
      <c r="A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</row>
    <row r="75" spans="1:23" s="64" customFormat="1" ht="12.75">
      <c r="A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</row>
    <row r="76" spans="1:23" s="64" customFormat="1" ht="12.75">
      <c r="A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</row>
    <row r="77" spans="1:23" s="64" customFormat="1" ht="12.75">
      <c r="A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</row>
    <row r="78" spans="1:23" s="64" customFormat="1" ht="12.75">
      <c r="A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</row>
    <row r="79" spans="1:23" s="64" customFormat="1" ht="12.75">
      <c r="A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</row>
    <row r="80" spans="1:23" s="64" customFormat="1" ht="12.75">
      <c r="A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</row>
  </sheetData>
  <sheetProtection sheet="1" objects="1" scenarios="1"/>
  <mergeCells count="1">
    <mergeCell ref="B2:G2"/>
  </mergeCells>
  <dataValidations count="1">
    <dataValidation type="decimal" operator="greaterThanOrEqual" allowBlank="1" showInputMessage="1" showErrorMessage="1" sqref="C8:F8 C26:F26 C12:F17">
      <formula1>0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18" customWidth="1"/>
    <col min="2" max="2" width="35.57421875" style="0" customWidth="1"/>
    <col min="8" max="28" width="9.140625" style="18" customWidth="1"/>
  </cols>
  <sheetData>
    <row r="1" spans="2:7" ht="12.75">
      <c r="B1" s="81" t="s">
        <v>139</v>
      </c>
      <c r="C1" s="81"/>
      <c r="D1" s="81"/>
      <c r="E1" s="81"/>
      <c r="F1" s="81"/>
      <c r="G1" s="81"/>
    </row>
    <row r="3" spans="2:7" ht="12.75">
      <c r="B3" s="40"/>
      <c r="C3" s="41" t="s">
        <v>53</v>
      </c>
      <c r="D3" s="41" t="s">
        <v>54</v>
      </c>
      <c r="E3" s="41" t="s">
        <v>55</v>
      </c>
      <c r="F3" s="41" t="s">
        <v>56</v>
      </c>
      <c r="G3" s="40"/>
    </row>
    <row r="4" spans="2:8" ht="13.5" thickBot="1">
      <c r="B4" s="40"/>
      <c r="C4" s="42" t="s">
        <v>57</v>
      </c>
      <c r="D4" s="42" t="s">
        <v>57</v>
      </c>
      <c r="E4" s="42" t="s">
        <v>57</v>
      </c>
      <c r="F4" s="42" t="s">
        <v>57</v>
      </c>
      <c r="G4" s="40"/>
      <c r="H4" s="39"/>
    </row>
    <row r="5" spans="2:8" ht="12.75">
      <c r="B5" s="40" t="s">
        <v>75</v>
      </c>
      <c r="C5" s="40"/>
      <c r="D5" s="40"/>
      <c r="E5" s="40"/>
      <c r="F5" s="40"/>
      <c r="G5" s="40"/>
      <c r="H5" s="39"/>
    </row>
    <row r="6" spans="2:7" ht="12.75">
      <c r="B6" s="40" t="s">
        <v>76</v>
      </c>
      <c r="C6" s="43">
        <f>MAX(MIN(C32,$C35),0)</f>
        <v>100</v>
      </c>
      <c r="D6" s="43">
        <f>MAX(MIN(D32,$C35-C21),0)</f>
        <v>0</v>
      </c>
      <c r="E6" s="43">
        <f>MAX(MIN(E$32,$C$35-D$21),0)</f>
        <v>0</v>
      </c>
      <c r="F6" s="43">
        <f>MAX(MIN(F32,$C35-E21),0)</f>
        <v>0</v>
      </c>
      <c r="G6" s="40"/>
    </row>
    <row r="7" spans="2:7" ht="12.75">
      <c r="B7" s="40" t="s">
        <v>111</v>
      </c>
      <c r="C7" s="44">
        <f>MAX(C32-C6-C16+C12,0)</f>
        <v>16</v>
      </c>
      <c r="D7" s="44">
        <f>MAX(D32-D6-D16+D12,0)</f>
        <v>92.40000000000002</v>
      </c>
      <c r="E7" s="44">
        <f>MAX(E32-E6-E16+E12,0)</f>
        <v>0</v>
      </c>
      <c r="F7" s="44">
        <f>MAX(F32-F6-F16+F12,0)</f>
        <v>0</v>
      </c>
      <c r="G7" s="40"/>
    </row>
    <row r="8" spans="2:7" ht="12.75">
      <c r="B8" s="40" t="s">
        <v>77</v>
      </c>
      <c r="C8" s="45">
        <f>SUM(C6:C7)</f>
        <v>116</v>
      </c>
      <c r="D8" s="45">
        <f>SUM(D6:D7)</f>
        <v>92.40000000000002</v>
      </c>
      <c r="E8" s="45">
        <f>SUM(E6:E7)</f>
        <v>0</v>
      </c>
      <c r="F8" s="45">
        <f>SUM(F6:F7)</f>
        <v>0</v>
      </c>
      <c r="G8" s="40"/>
    </row>
    <row r="9" spans="2:7" ht="12.75">
      <c r="B9" s="40"/>
      <c r="C9" s="45"/>
      <c r="D9" s="45"/>
      <c r="E9" s="45"/>
      <c r="F9" s="45"/>
      <c r="G9" s="40"/>
    </row>
    <row r="10" spans="2:7" ht="12.75">
      <c r="B10" s="40" t="s">
        <v>78</v>
      </c>
      <c r="C10" s="45"/>
      <c r="D10" s="45"/>
      <c r="E10" s="45"/>
      <c r="F10" s="45"/>
      <c r="G10" s="40"/>
    </row>
    <row r="11" spans="2:8" ht="12.75">
      <c r="B11" s="40" t="s">
        <v>79</v>
      </c>
      <c r="C11" s="43">
        <f>MIN(B21,MAX(-C$32,0))</f>
        <v>0</v>
      </c>
      <c r="D11" s="43">
        <f>MIN(C21,MAX(-D$32-C22,0))</f>
        <v>0</v>
      </c>
      <c r="E11" s="43">
        <f>MIN(D21,MAX(-E$32-D22,0))</f>
        <v>19.979999999999976</v>
      </c>
      <c r="F11" s="43">
        <f>MIN(E21,MAX(-F$32-E22,0))</f>
        <v>80.02000000000002</v>
      </c>
      <c r="G11" s="40"/>
      <c r="H11" s="39"/>
    </row>
    <row r="12" spans="2:7" ht="12.75">
      <c r="B12" s="40" t="s">
        <v>80</v>
      </c>
      <c r="C12" s="46">
        <v>0</v>
      </c>
      <c r="D12" s="44">
        <f>C7</f>
        <v>16</v>
      </c>
      <c r="E12" s="44">
        <f>D7</f>
        <v>92.40000000000002</v>
      </c>
      <c r="F12" s="44">
        <f>E7</f>
        <v>0</v>
      </c>
      <c r="G12" s="40"/>
    </row>
    <row r="13" spans="2:7" ht="12.75">
      <c r="B13" s="40" t="s">
        <v>81</v>
      </c>
      <c r="C13" s="45">
        <f>SUM(C11:C12)</f>
        <v>0</v>
      </c>
      <c r="D13" s="45">
        <f>SUM(D11:D12)</f>
        <v>16</v>
      </c>
      <c r="E13" s="45">
        <f>SUM(E11:E12)</f>
        <v>112.38</v>
      </c>
      <c r="F13" s="45">
        <f>SUM(F11:F12)</f>
        <v>80.02000000000002</v>
      </c>
      <c r="G13" s="40"/>
    </row>
    <row r="14" spans="2:7" ht="13.5" thickBot="1">
      <c r="B14" s="40"/>
      <c r="C14" s="45"/>
      <c r="D14" s="45"/>
      <c r="E14" s="45"/>
      <c r="F14" s="45"/>
      <c r="G14" s="40"/>
    </row>
    <row r="15" spans="2:7" ht="13.5" thickBot="1">
      <c r="B15" s="47" t="s">
        <v>82</v>
      </c>
      <c r="C15" s="48">
        <f>C8-C13</f>
        <v>116</v>
      </c>
      <c r="D15" s="48">
        <f>D8-D13</f>
        <v>76.40000000000002</v>
      </c>
      <c r="E15" s="48">
        <f>E8-E13</f>
        <v>-112.38</v>
      </c>
      <c r="F15" s="48">
        <f>F8-F13</f>
        <v>-80.02000000000002</v>
      </c>
      <c r="G15" s="40"/>
    </row>
    <row r="16" spans="2:7" ht="12.75">
      <c r="B16" s="40" t="s">
        <v>83</v>
      </c>
      <c r="C16" s="49">
        <f>MAX(0,MIN('TABLE 19.2'!C8,C30-C6))</f>
        <v>25</v>
      </c>
      <c r="D16" s="49">
        <f>MAX(0,MIN('TABLE 19.2'!C8-C23,D30-D6))</f>
        <v>0</v>
      </c>
      <c r="E16" s="49">
        <f>MAX(0,MIN('TABLE 19.2'!D8-D23,E30-E6))</f>
        <v>0</v>
      </c>
      <c r="F16" s="49">
        <f>MAX(0,MIN('TABLE 19.2'!E8-E23,F30-F6))</f>
        <v>0</v>
      </c>
      <c r="G16" s="40"/>
    </row>
    <row r="17" spans="2:7" ht="13.5" thickBot="1">
      <c r="B17" s="40" t="s">
        <v>84</v>
      </c>
      <c r="C17" s="45">
        <f>MAX(0,-C32-C13)</f>
        <v>0</v>
      </c>
      <c r="D17" s="45">
        <f>MAX(0,-D32-D13)</f>
        <v>0</v>
      </c>
      <c r="E17" s="45">
        <f>MAX(0,-E32-E13)</f>
        <v>0</v>
      </c>
      <c r="F17" s="45">
        <f>MAX(0,-F32-F13)</f>
        <v>87.77949999999994</v>
      </c>
      <c r="G17" s="40"/>
    </row>
    <row r="18" spans="2:7" ht="13.5" thickBot="1">
      <c r="B18" s="47" t="s">
        <v>85</v>
      </c>
      <c r="C18" s="48">
        <f>C32</f>
        <v>141</v>
      </c>
      <c r="D18" s="48">
        <f>D32</f>
        <v>76.40000000000002</v>
      </c>
      <c r="E18" s="48">
        <f>E32</f>
        <v>-112.38</v>
      </c>
      <c r="F18" s="48">
        <f>F32</f>
        <v>-167.79949999999997</v>
      </c>
      <c r="G18" s="40"/>
    </row>
    <row r="19" spans="2:7" ht="13.5" thickBot="1">
      <c r="B19" s="50"/>
      <c r="C19" s="51"/>
      <c r="D19" s="51"/>
      <c r="E19" s="51"/>
      <c r="F19" s="51"/>
      <c r="G19" s="40"/>
    </row>
    <row r="20" spans="2:7" ht="12.75">
      <c r="B20" s="52" t="s">
        <v>86</v>
      </c>
      <c r="C20" s="53"/>
      <c r="D20" s="53"/>
      <c r="E20" s="53"/>
      <c r="F20" s="54"/>
      <c r="G20" s="40"/>
    </row>
    <row r="21" spans="2:7" ht="12.75">
      <c r="B21" s="55" t="s">
        <v>87</v>
      </c>
      <c r="C21" s="56">
        <f>+C6-C11</f>
        <v>100</v>
      </c>
      <c r="D21" s="56">
        <f>+C21+D6-D11</f>
        <v>100</v>
      </c>
      <c r="E21" s="56">
        <f>+D21+E6-E11</f>
        <v>80.02000000000002</v>
      </c>
      <c r="F21" s="57">
        <f>+E21+F6-F11</f>
        <v>0</v>
      </c>
      <c r="G21" s="40"/>
    </row>
    <row r="22" spans="2:7" ht="12.75">
      <c r="B22" s="55" t="s">
        <v>88</v>
      </c>
      <c r="C22" s="56">
        <f>+C7-C12</f>
        <v>16</v>
      </c>
      <c r="D22" s="56">
        <f>C22+D7-D12</f>
        <v>92.40000000000002</v>
      </c>
      <c r="E22" s="56">
        <f>D22+E7-E12</f>
        <v>0</v>
      </c>
      <c r="F22" s="57">
        <f>E22+F7-F12</f>
        <v>0</v>
      </c>
      <c r="G22" s="40"/>
    </row>
    <row r="23" spans="2:7" ht="13.5" thickBot="1">
      <c r="B23" s="58" t="s">
        <v>89</v>
      </c>
      <c r="C23" s="59">
        <f>+C16-C17</f>
        <v>25</v>
      </c>
      <c r="D23" s="59">
        <f>+C23+D16-D17</f>
        <v>25</v>
      </c>
      <c r="E23" s="59">
        <f>+D23+E16-E17</f>
        <v>25</v>
      </c>
      <c r="F23" s="60">
        <f>+E23+F16-F17</f>
        <v>-62.77949999999994</v>
      </c>
      <c r="G23" s="40"/>
    </row>
    <row r="24" spans="2:7" ht="12.75">
      <c r="B24" s="40"/>
      <c r="C24" s="45"/>
      <c r="D24" s="45"/>
      <c r="E24" s="45"/>
      <c r="F24" s="45"/>
      <c r="G24" s="40"/>
    </row>
    <row r="25" spans="2:7" ht="12.75">
      <c r="B25" s="40" t="s">
        <v>90</v>
      </c>
      <c r="C25" s="45"/>
      <c r="D25" s="45"/>
      <c r="E25" s="45"/>
      <c r="F25" s="45"/>
      <c r="G25" s="40"/>
    </row>
    <row r="26" spans="2:7" ht="12.75">
      <c r="B26" s="40" t="s">
        <v>91</v>
      </c>
      <c r="C26" s="45">
        <v>0</v>
      </c>
      <c r="D26" s="45">
        <f>($C$36/100)*C21</f>
        <v>2.5</v>
      </c>
      <c r="E26" s="45">
        <f>($C$36/100)*D21</f>
        <v>2.5</v>
      </c>
      <c r="F26" s="45">
        <f>($C$36/100)*E21</f>
        <v>2.0005000000000006</v>
      </c>
      <c r="G26" s="40"/>
    </row>
    <row r="27" spans="2:7" ht="12.75">
      <c r="B27" s="40" t="s">
        <v>92</v>
      </c>
      <c r="C27" s="45">
        <v>0</v>
      </c>
      <c r="D27" s="45">
        <f>($C$37/100)*C22</f>
        <v>0.8</v>
      </c>
      <c r="E27" s="45">
        <f>($C$37/100)*D22</f>
        <v>4.620000000000001</v>
      </c>
      <c r="F27" s="45">
        <f>($C$37/100)*E22</f>
        <v>0</v>
      </c>
      <c r="G27" s="40"/>
    </row>
    <row r="28" spans="2:7" ht="12.75">
      <c r="B28" s="40" t="s">
        <v>93</v>
      </c>
      <c r="C28" s="44">
        <v>0</v>
      </c>
      <c r="D28" s="44">
        <f>($C$38/100)*C23</f>
        <v>0.5</v>
      </c>
      <c r="E28" s="44">
        <f>($C$38/100)*D23</f>
        <v>0.5</v>
      </c>
      <c r="F28" s="44">
        <f>($C$38/100)*E23</f>
        <v>0.5</v>
      </c>
      <c r="G28" s="40"/>
    </row>
    <row r="29" spans="2:7" ht="12.75">
      <c r="B29" s="40" t="s">
        <v>94</v>
      </c>
      <c r="C29" s="45">
        <f>C26+C27+C28</f>
        <v>0</v>
      </c>
      <c r="D29" s="45">
        <f>D26+D27+D28</f>
        <v>3.8</v>
      </c>
      <c r="E29" s="45">
        <f>E26+E27+E28</f>
        <v>7.620000000000001</v>
      </c>
      <c r="F29" s="45">
        <f>F26+F27+F28</f>
        <v>2.5005000000000006</v>
      </c>
      <c r="G29" s="40"/>
    </row>
    <row r="30" spans="2:7" ht="12.75">
      <c r="B30" s="40" t="s">
        <v>95</v>
      </c>
      <c r="C30" s="44">
        <f>'TABLE 19.5'!C27</f>
        <v>141</v>
      </c>
      <c r="D30" s="44">
        <f>-'TABLE 19.5'!D20</f>
        <v>72.60000000000002</v>
      </c>
      <c r="E30" s="44">
        <f>-'TABLE 19.5'!E20</f>
        <v>-120</v>
      </c>
      <c r="F30" s="44">
        <f>-'TABLE 19.5'!F20</f>
        <v>-170.29999999999995</v>
      </c>
      <c r="G30" s="40"/>
    </row>
    <row r="31" spans="2:7" ht="13.5" thickBot="1">
      <c r="B31" s="40"/>
      <c r="C31" s="45"/>
      <c r="D31" s="45"/>
      <c r="E31" s="45"/>
      <c r="F31" s="45"/>
      <c r="G31" s="40"/>
    </row>
    <row r="32" spans="2:7" ht="13.5" thickBot="1">
      <c r="B32" s="47" t="s">
        <v>96</v>
      </c>
      <c r="C32" s="48">
        <f>C29+C30</f>
        <v>141</v>
      </c>
      <c r="D32" s="48">
        <f>D29+D30</f>
        <v>76.40000000000002</v>
      </c>
      <c r="E32" s="48">
        <f>E29+E30</f>
        <v>-112.38</v>
      </c>
      <c r="F32" s="48">
        <f>F29+F30</f>
        <v>-167.79949999999997</v>
      </c>
      <c r="G32" s="45"/>
    </row>
    <row r="33" spans="2:7" ht="12.75">
      <c r="B33" s="40"/>
      <c r="C33" s="40"/>
      <c r="D33" s="40"/>
      <c r="E33" s="40"/>
      <c r="F33" s="40"/>
      <c r="G33" s="40"/>
    </row>
    <row r="34" spans="2:7" ht="12.75">
      <c r="B34" s="40" t="s">
        <v>97</v>
      </c>
      <c r="C34" s="40"/>
      <c r="D34" s="40"/>
      <c r="E34" s="40"/>
      <c r="F34" s="40"/>
      <c r="G34" s="40"/>
    </row>
    <row r="35" spans="2:7" ht="12.75">
      <c r="B35" s="40" t="s">
        <v>126</v>
      </c>
      <c r="C35" s="61">
        <v>100</v>
      </c>
      <c r="D35" s="40"/>
      <c r="E35" s="40"/>
      <c r="F35" s="40"/>
      <c r="G35" s="40"/>
    </row>
    <row r="36" spans="2:7" ht="12.75">
      <c r="B36" s="40" t="s">
        <v>98</v>
      </c>
      <c r="C36" s="61">
        <v>2.5</v>
      </c>
      <c r="D36" s="40"/>
      <c r="E36" s="40"/>
      <c r="F36" s="40"/>
      <c r="G36" s="40"/>
    </row>
    <row r="37" spans="2:7" ht="12.75">
      <c r="B37" s="40" t="s">
        <v>99</v>
      </c>
      <c r="C37" s="61">
        <v>5</v>
      </c>
      <c r="D37" s="40"/>
      <c r="E37" s="40"/>
      <c r="F37" s="40"/>
      <c r="G37" s="40"/>
    </row>
    <row r="38" spans="2:7" ht="12.75">
      <c r="B38" s="40" t="s">
        <v>100</v>
      </c>
      <c r="C38" s="61">
        <v>2</v>
      </c>
      <c r="D38" s="40"/>
      <c r="E38" s="40"/>
      <c r="F38" s="40"/>
      <c r="G38" s="40"/>
    </row>
    <row r="39" spans="2:7" ht="12.75">
      <c r="B39" s="40"/>
      <c r="C39" s="40"/>
      <c r="D39" s="40"/>
      <c r="E39" s="40"/>
      <c r="F39" s="40"/>
      <c r="G39" s="40"/>
    </row>
    <row r="40" spans="2:7" ht="12.75">
      <c r="B40" s="18"/>
      <c r="C40" s="18"/>
      <c r="D40" s="18"/>
      <c r="E40" s="18"/>
      <c r="F40" s="18"/>
      <c r="G40" s="18"/>
    </row>
    <row r="41" spans="2:7" ht="12.75">
      <c r="B41" s="18"/>
      <c r="C41" s="18"/>
      <c r="D41" s="18"/>
      <c r="E41" s="18"/>
      <c r="F41" s="18"/>
      <c r="G41" s="18"/>
    </row>
    <row r="42" spans="2:7" ht="12.75">
      <c r="B42" s="18"/>
      <c r="C42" s="18"/>
      <c r="D42" s="18"/>
      <c r="E42" s="18"/>
      <c r="F42" s="18"/>
      <c r="G42" s="18"/>
    </row>
    <row r="43" spans="2:7" ht="12.75">
      <c r="B43" s="18"/>
      <c r="C43" s="18"/>
      <c r="D43" s="18"/>
      <c r="E43" s="18"/>
      <c r="F43" s="18"/>
      <c r="G43" s="18"/>
    </row>
    <row r="44" spans="2:7" ht="12.75">
      <c r="B44" s="18"/>
      <c r="C44" s="18"/>
      <c r="D44" s="18"/>
      <c r="E44" s="18"/>
      <c r="F44" s="18"/>
      <c r="G44" s="18"/>
    </row>
    <row r="45" spans="2:7" ht="12.75">
      <c r="B45" s="18"/>
      <c r="C45" s="18"/>
      <c r="D45" s="18"/>
      <c r="E45" s="18"/>
      <c r="F45" s="18"/>
      <c r="G45" s="18"/>
    </row>
    <row r="46" spans="2:7" ht="12.75">
      <c r="B46" s="18"/>
      <c r="C46" s="18"/>
      <c r="D46" s="18"/>
      <c r="E46" s="18"/>
      <c r="F46" s="18"/>
      <c r="G46" s="18"/>
    </row>
    <row r="47" spans="2:7" ht="12.75">
      <c r="B47" s="18"/>
      <c r="C47" s="18"/>
      <c r="D47" s="18"/>
      <c r="E47" s="18"/>
      <c r="F47" s="18"/>
      <c r="G47" s="18"/>
    </row>
    <row r="48" spans="2:7" ht="12.75">
      <c r="B48" s="18"/>
      <c r="C48" s="18"/>
      <c r="D48" s="18"/>
      <c r="E48" s="18"/>
      <c r="F48" s="18"/>
      <c r="G48" s="18"/>
    </row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</sheetData>
  <sheetProtection sheet="1" objects="1" scenarios="1"/>
  <mergeCells count="1">
    <mergeCell ref="B1:G1"/>
  </mergeCells>
  <dataValidations count="1">
    <dataValidation type="decimal" allowBlank="1" showInputMessage="1" showErrorMessage="1" sqref="C36:C38">
      <formula1>0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2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18" customWidth="1"/>
    <col min="2" max="2" width="34.140625" style="0" customWidth="1"/>
    <col min="3" max="3" width="17.7109375" style="0" bestFit="1" customWidth="1"/>
    <col min="5" max="5" width="17.7109375" style="0" bestFit="1" customWidth="1"/>
    <col min="7" max="28" width="9.140625" style="18" customWidth="1"/>
  </cols>
  <sheetData>
    <row r="1" spans="2:6" ht="12.75">
      <c r="B1" s="18"/>
      <c r="C1" s="18"/>
      <c r="D1" s="18"/>
      <c r="E1" s="18"/>
      <c r="F1" s="18"/>
    </row>
    <row r="2" spans="2:8" ht="12.75">
      <c r="B2" s="80" t="s">
        <v>140</v>
      </c>
      <c r="C2" s="80"/>
      <c r="D2" s="80"/>
      <c r="E2" s="80"/>
      <c r="F2" s="80"/>
      <c r="G2" s="79"/>
      <c r="H2" s="79"/>
    </row>
    <row r="3" spans="2:6" ht="12.75">
      <c r="B3" s="3"/>
      <c r="C3" s="2"/>
      <c r="D3" s="2"/>
      <c r="E3" s="2"/>
      <c r="F3" s="2"/>
    </row>
    <row r="4" spans="2:7" ht="12.75">
      <c r="B4" s="2"/>
      <c r="C4" s="5">
        <v>40148</v>
      </c>
      <c r="D4" s="6"/>
      <c r="E4" s="5">
        <v>39783</v>
      </c>
      <c r="F4" s="76"/>
      <c r="G4" s="78"/>
    </row>
    <row r="5" spans="2:6" ht="12.75">
      <c r="B5" s="3"/>
      <c r="C5" s="17"/>
      <c r="D5" s="17"/>
      <c r="E5" s="17"/>
      <c r="F5" s="2"/>
    </row>
    <row r="6" spans="2:6" ht="12.75">
      <c r="B6" s="2" t="s">
        <v>44</v>
      </c>
      <c r="C6" s="74">
        <f>'TABLE 19.2'!C11-'TABLE 19.2'!C24</f>
        <v>190</v>
      </c>
      <c r="D6" s="17"/>
      <c r="E6" s="74">
        <f>'TABLE 19.2'!E11-'TABLE 19.2'!E24</f>
        <v>140</v>
      </c>
      <c r="F6" s="2"/>
    </row>
    <row r="7" spans="2:6" ht="12.75">
      <c r="B7" s="2"/>
      <c r="C7" s="17"/>
      <c r="D7" s="17"/>
      <c r="E7" s="17"/>
      <c r="F7" s="2"/>
    </row>
    <row r="8" spans="2:6" ht="12.75">
      <c r="B8" s="2" t="s">
        <v>16</v>
      </c>
      <c r="C8" s="17"/>
      <c r="D8" s="17"/>
      <c r="E8" s="17"/>
      <c r="F8" s="2"/>
    </row>
    <row r="9" spans="2:6" ht="12.75">
      <c r="B9" s="2" t="s">
        <v>17</v>
      </c>
      <c r="C9" s="74">
        <f>'TABLE 19.2'!C14</f>
        <v>350</v>
      </c>
      <c r="D9" s="17"/>
      <c r="E9" s="74">
        <f>'TABLE 19.2'!E14</f>
        <v>320</v>
      </c>
      <c r="F9" s="2"/>
    </row>
    <row r="10" spans="2:6" ht="13.5" thickBot="1">
      <c r="B10" s="8" t="s">
        <v>18</v>
      </c>
      <c r="C10" s="74">
        <f>'TABLE 19.2'!C15</f>
        <v>100</v>
      </c>
      <c r="D10" s="17"/>
      <c r="E10" s="74">
        <f>'TABLE 19.2'!E15</f>
        <v>80</v>
      </c>
      <c r="F10" s="2"/>
    </row>
    <row r="11" spans="2:6" ht="13.5" thickBot="1">
      <c r="B11" s="2" t="s">
        <v>133</v>
      </c>
      <c r="C11" s="75">
        <f>C9-C10</f>
        <v>250</v>
      </c>
      <c r="D11" s="17"/>
      <c r="E11" s="75">
        <f>E9-E10</f>
        <v>240</v>
      </c>
      <c r="F11" s="2"/>
    </row>
    <row r="12" spans="2:6" ht="12.75">
      <c r="B12" s="2" t="s">
        <v>45</v>
      </c>
      <c r="C12" s="17">
        <f>C6+C11</f>
        <v>440</v>
      </c>
      <c r="D12" s="17"/>
      <c r="E12" s="17">
        <f>E6+E11</f>
        <v>380</v>
      </c>
      <c r="F12" s="2"/>
    </row>
    <row r="13" spans="2:6" ht="12.75">
      <c r="B13" s="2"/>
      <c r="C13" s="17"/>
      <c r="D13" s="17"/>
      <c r="E13" s="17"/>
      <c r="F13" s="2"/>
    </row>
    <row r="14" spans="2:7" ht="12.75">
      <c r="B14" s="2"/>
      <c r="C14" s="5">
        <v>40148</v>
      </c>
      <c r="D14" s="6"/>
      <c r="E14" s="5">
        <v>39783</v>
      </c>
      <c r="F14" s="7"/>
      <c r="G14" s="78"/>
    </row>
    <row r="15" spans="2:6" ht="12.75">
      <c r="B15" s="2"/>
      <c r="C15" s="17"/>
      <c r="D15" s="17"/>
      <c r="E15" s="17"/>
      <c r="F15" s="2"/>
    </row>
    <row r="16" spans="2:6" ht="12.75">
      <c r="B16" s="2" t="s">
        <v>25</v>
      </c>
      <c r="C16" s="74">
        <f>'TABLE 19.2'!C26</f>
        <v>90</v>
      </c>
      <c r="D16" s="17"/>
      <c r="E16" s="74">
        <f>'TABLE 19.2'!E26</f>
        <v>60</v>
      </c>
      <c r="F16" s="2"/>
    </row>
    <row r="17" spans="2:6" ht="13.5" thickBot="1">
      <c r="B17" s="2" t="s">
        <v>131</v>
      </c>
      <c r="C17" s="77">
        <f>'TABLE 19.2'!C27</f>
        <v>350</v>
      </c>
      <c r="D17" s="17"/>
      <c r="E17" s="77">
        <f>'TABLE 19.2'!E27</f>
        <v>320</v>
      </c>
      <c r="F17" s="2"/>
    </row>
    <row r="18" spans="2:6" ht="12.75">
      <c r="B18" s="2" t="s">
        <v>132</v>
      </c>
      <c r="C18" s="17">
        <f>SUM(C16:C17)</f>
        <v>440</v>
      </c>
      <c r="D18" s="17"/>
      <c r="E18" s="17">
        <f>SUM(E16:E17)</f>
        <v>380</v>
      </c>
      <c r="F18" s="2"/>
    </row>
    <row r="20" spans="2:6" ht="12.75">
      <c r="B20" s="18"/>
      <c r="C20" s="18"/>
      <c r="D20" s="18"/>
      <c r="E20" s="18"/>
      <c r="F20" s="18"/>
    </row>
    <row r="21" spans="2:6" ht="12.75">
      <c r="B21" s="18"/>
      <c r="C21" s="18"/>
      <c r="D21" s="18"/>
      <c r="E21" s="18"/>
      <c r="F21" s="18"/>
    </row>
    <row r="22" spans="2:6" ht="12.75">
      <c r="B22" s="18"/>
      <c r="C22" s="18"/>
      <c r="D22" s="18"/>
      <c r="E22" s="18"/>
      <c r="F22" s="18"/>
    </row>
    <row r="23" spans="2:6" ht="12.75">
      <c r="B23" s="18"/>
      <c r="C23" s="18"/>
      <c r="D23" s="18"/>
      <c r="E23" s="18"/>
      <c r="F23" s="18"/>
    </row>
    <row r="24" spans="2:6" ht="12.75">
      <c r="B24" s="18"/>
      <c r="C24" s="18"/>
      <c r="D24" s="18"/>
      <c r="E24" s="18"/>
      <c r="F24" s="18"/>
    </row>
    <row r="25" spans="2:6" ht="12.75">
      <c r="B25" s="18"/>
      <c r="C25" s="18"/>
      <c r="D25" s="18"/>
      <c r="E25" s="18"/>
      <c r="F25" s="18"/>
    </row>
    <row r="26" spans="2:6" ht="12.75">
      <c r="B26" s="18"/>
      <c r="C26" s="18"/>
      <c r="D26" s="18"/>
      <c r="E26" s="18"/>
      <c r="F26" s="18"/>
    </row>
    <row r="27" spans="2:6" ht="12.75">
      <c r="B27" s="18"/>
      <c r="C27" s="18"/>
      <c r="D27" s="18"/>
      <c r="E27" s="18"/>
      <c r="F27" s="18"/>
    </row>
    <row r="28" spans="2:6" ht="12.75">
      <c r="B28" s="18"/>
      <c r="C28" s="18"/>
      <c r="D28" s="18"/>
      <c r="E28" s="18"/>
      <c r="F28" s="18"/>
    </row>
    <row r="29" spans="2:6" ht="12.75">
      <c r="B29" s="18"/>
      <c r="C29" s="18"/>
      <c r="D29" s="18"/>
      <c r="E29" s="18"/>
      <c r="F29" s="18"/>
    </row>
    <row r="30" spans="2:6" ht="12.75">
      <c r="B30" s="18"/>
      <c r="C30" s="18"/>
      <c r="D30" s="18"/>
      <c r="E30" s="18"/>
      <c r="F30" s="18"/>
    </row>
    <row r="31" spans="2:6" ht="12.75">
      <c r="B31" s="18"/>
      <c r="C31" s="18"/>
      <c r="D31" s="18"/>
      <c r="E31" s="18"/>
      <c r="F31" s="18"/>
    </row>
    <row r="32" spans="2:6" ht="12.75">
      <c r="B32" s="18"/>
      <c r="C32" s="18"/>
      <c r="D32" s="18"/>
      <c r="E32" s="18"/>
      <c r="F32" s="18"/>
    </row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  <row r="55" s="18" customFormat="1" ht="12.75"/>
    <row r="56" s="18" customFormat="1" ht="12.75"/>
    <row r="57" s="18" customFormat="1" ht="12.75"/>
    <row r="58" s="18" customFormat="1" ht="12.75"/>
    <row r="59" s="18" customFormat="1" ht="12.75"/>
    <row r="60" s="18" customFormat="1" ht="12.75"/>
    <row r="61" s="18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  <row r="180" s="18" customFormat="1" ht="12.75"/>
    <row r="181" s="18" customFormat="1" ht="12.75"/>
    <row r="182" s="18" customFormat="1" ht="12.75"/>
    <row r="183" s="18" customFormat="1" ht="12.75"/>
    <row r="184" s="18" customFormat="1" ht="12.75"/>
    <row r="185" s="18" customFormat="1" ht="12.75"/>
    <row r="186" s="18" customFormat="1" ht="12.75"/>
    <row r="187" s="18" customFormat="1" ht="12.75"/>
    <row r="188" s="18" customFormat="1" ht="12.75"/>
    <row r="189" s="18" customFormat="1" ht="12.75"/>
    <row r="190" s="18" customFormat="1" ht="12.75"/>
    <row r="191" s="18" customFormat="1" ht="12.75"/>
    <row r="192" s="18" customFormat="1" ht="12.75"/>
    <row r="193" s="18" customFormat="1" ht="12.75"/>
    <row r="194" s="18" customFormat="1" ht="12.75"/>
    <row r="195" s="18" customFormat="1" ht="12.75"/>
    <row r="196" s="18" customFormat="1" ht="12.75"/>
    <row r="197" s="18" customFormat="1" ht="12.75"/>
    <row r="198" s="18" customFormat="1" ht="12.75"/>
    <row r="199" s="18" customFormat="1" ht="12.75"/>
    <row r="200" s="18" customFormat="1" ht="12.75"/>
    <row r="201" s="18" customFormat="1" ht="12.75"/>
    <row r="202" s="18" customFormat="1" ht="12.75"/>
    <row r="203" s="18" customFormat="1" ht="12.75"/>
    <row r="204" s="18" customFormat="1" ht="12.75"/>
    <row r="205" s="18" customFormat="1" ht="12.75"/>
    <row r="206" s="18" customFormat="1" ht="12.75"/>
    <row r="207" s="18" customFormat="1" ht="12.75"/>
    <row r="208" s="18" customFormat="1" ht="12.75"/>
    <row r="209" s="18" customFormat="1" ht="12.75"/>
    <row r="210" s="18" customFormat="1" ht="12.75"/>
    <row r="211" s="18" customFormat="1" ht="12.75"/>
    <row r="212" s="18" customFormat="1" ht="12.75"/>
    <row r="213" s="18" customFormat="1" ht="12.75"/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8" customWidth="1"/>
    <col min="2" max="2" width="42.57421875" style="18" customWidth="1"/>
    <col min="3" max="16384" width="9.140625" style="18" customWidth="1"/>
  </cols>
  <sheetData>
    <row r="1" ht="51.75" customHeight="1"/>
    <row r="2" spans="2:9" ht="12.75">
      <c r="B2" s="81" t="s">
        <v>141</v>
      </c>
      <c r="C2" s="81"/>
      <c r="D2" s="81"/>
      <c r="E2" s="81"/>
      <c r="F2" s="81"/>
      <c r="G2" s="81"/>
      <c r="H2" s="81"/>
      <c r="I2" s="81"/>
    </row>
    <row r="3" spans="2:9" ht="12.75">
      <c r="B3"/>
      <c r="C3"/>
      <c r="D3"/>
      <c r="E3"/>
      <c r="F3"/>
      <c r="G3"/>
      <c r="H3"/>
      <c r="I3"/>
    </row>
    <row r="4" spans="2:9" ht="12.75">
      <c r="B4" s="2"/>
      <c r="C4" s="11">
        <v>2009</v>
      </c>
      <c r="D4" s="11">
        <f>C4+1</f>
        <v>2010</v>
      </c>
      <c r="E4" s="11">
        <f>D4+1</f>
        <v>2011</v>
      </c>
      <c r="F4" s="11">
        <f>E4+1</f>
        <v>2012</v>
      </c>
      <c r="G4" s="11">
        <f>F4+1</f>
        <v>2013</v>
      </c>
      <c r="H4" s="11">
        <f>G4+1</f>
        <v>2014</v>
      </c>
      <c r="I4"/>
    </row>
    <row r="5" spans="2:9" ht="12.75">
      <c r="B5" s="2" t="s">
        <v>0</v>
      </c>
      <c r="C5" s="14">
        <f>'TABLE 19.1'!F$5</f>
        <v>2200</v>
      </c>
      <c r="D5" s="14">
        <f>C5*(1+$C$14/100)</f>
        <v>2640</v>
      </c>
      <c r="E5" s="15">
        <f>D5*(1+$C$14/100)</f>
        <v>3168</v>
      </c>
      <c r="F5" s="15">
        <f>E5*(1+$C$14/100)</f>
        <v>3801.6</v>
      </c>
      <c r="G5" s="15">
        <f>F5*(1+$C$14/100)</f>
        <v>4561.92</v>
      </c>
      <c r="H5" s="14">
        <f>G5*(1+$C$14/100)</f>
        <v>5474.304</v>
      </c>
      <c r="I5"/>
    </row>
    <row r="6" spans="2:9" ht="12.75">
      <c r="B6" s="2" t="s">
        <v>1</v>
      </c>
      <c r="C6" s="14">
        <v>2055</v>
      </c>
      <c r="D6" s="14">
        <f>D5*$C$15/100</f>
        <v>2428.8</v>
      </c>
      <c r="E6" s="15">
        <f>E5*$C$15/100</f>
        <v>2914.56</v>
      </c>
      <c r="F6" s="15">
        <f>F5*$C$15/100</f>
        <v>3497.472</v>
      </c>
      <c r="G6" s="15">
        <f>G5*$C$15/100</f>
        <v>4196.9664</v>
      </c>
      <c r="H6" s="14">
        <f>H5*$C$15/100</f>
        <v>5036.35968</v>
      </c>
      <c r="I6"/>
    </row>
    <row r="7" spans="2:9" ht="12.75">
      <c r="B7" s="2" t="s">
        <v>2</v>
      </c>
      <c r="C7" s="14">
        <f>'TABLE 19.1'!F7</f>
        <v>20</v>
      </c>
      <c r="D7" s="14">
        <v>22.5</v>
      </c>
      <c r="E7" s="15">
        <f>$C$16*$C$18*D5/10000</f>
        <v>29.7</v>
      </c>
      <c r="F7" s="15">
        <f>$C$16*$C$18*E5/10000</f>
        <v>35.64</v>
      </c>
      <c r="G7" s="15">
        <f>$C$16*$C$18*F5/10000</f>
        <v>42.768</v>
      </c>
      <c r="H7" s="14">
        <f>$C$16*$C$18*G5/10000</f>
        <v>51.3216</v>
      </c>
      <c r="I7"/>
    </row>
    <row r="8" spans="2:9" ht="12.75">
      <c r="B8" s="2" t="s">
        <v>3</v>
      </c>
      <c r="C8" s="14">
        <f aca="true" t="shared" si="0" ref="C8:H8">+C5-C6-C7</f>
        <v>125</v>
      </c>
      <c r="D8" s="14">
        <f t="shared" si="0"/>
        <v>188.69999999999982</v>
      </c>
      <c r="E8" s="15">
        <f t="shared" si="0"/>
        <v>223.74000000000007</v>
      </c>
      <c r="F8" s="15">
        <f t="shared" si="0"/>
        <v>268.4879999999997</v>
      </c>
      <c r="G8" s="15">
        <f t="shared" si="0"/>
        <v>322.1855999999998</v>
      </c>
      <c r="H8" s="14">
        <f t="shared" si="0"/>
        <v>386.6227200000005</v>
      </c>
      <c r="I8"/>
    </row>
    <row r="9" spans="2:9" ht="12.75">
      <c r="B9" s="2" t="s">
        <v>4</v>
      </c>
      <c r="C9" s="14">
        <f>'TABLE 19.1'!F9</f>
        <v>5</v>
      </c>
      <c r="D9" s="14">
        <f>$C$17*'TABLE 19.2'!C26/100</f>
        <v>9</v>
      </c>
      <c r="E9" s="15">
        <f>$C$17*'TABLE 19.10'!D9/100</f>
        <v>23.446000000000005</v>
      </c>
      <c r="F9" s="15">
        <f>$C$17*'TABLE 19.10'!E9/100</f>
        <v>31.84812000000001</v>
      </c>
      <c r="G9" s="15">
        <f>$C$17*'TABLE 19.10'!F9/100</f>
        <v>42.00492240000001</v>
      </c>
      <c r="H9" s="16">
        <f>$C$17*'TABLE 19.10'!G9/100</f>
        <v>54.26882884799999</v>
      </c>
      <c r="I9"/>
    </row>
    <row r="10" spans="2:9" ht="12.75">
      <c r="B10" s="2" t="s">
        <v>5</v>
      </c>
      <c r="C10" s="14">
        <f>'TABLE 19.1'!$F$18*(C8-C9)/100</f>
        <v>60</v>
      </c>
      <c r="D10" s="14">
        <f>'TABLE 19.1'!$F$18*(D8-D9)/100</f>
        <v>89.84999999999991</v>
      </c>
      <c r="E10" s="15">
        <f>'TABLE 19.1'!$F$18*(E8-E9)/100</f>
        <v>100.14700000000002</v>
      </c>
      <c r="F10" s="15">
        <f>'TABLE 19.1'!$F$18*(F8-F9)/100</f>
        <v>118.31993999999986</v>
      </c>
      <c r="G10" s="15">
        <f>'TABLE 19.1'!$F$18*(G8-G9)/100</f>
        <v>140.0903387999999</v>
      </c>
      <c r="H10" s="14">
        <f>'TABLE 19.1'!$F$18*(H8-H9)/100</f>
        <v>166.17694557600026</v>
      </c>
      <c r="I10"/>
    </row>
    <row r="11" spans="2:9" ht="12.75">
      <c r="B11" s="2" t="s">
        <v>6</v>
      </c>
      <c r="C11" s="14">
        <f aca="true" t="shared" si="1" ref="C11:H11">C8-C9-C10</f>
        <v>60</v>
      </c>
      <c r="D11" s="14">
        <f t="shared" si="1"/>
        <v>89.84999999999991</v>
      </c>
      <c r="E11" s="15">
        <f t="shared" si="1"/>
        <v>100.14700000000005</v>
      </c>
      <c r="F11" s="15">
        <f t="shared" si="1"/>
        <v>118.31993999999986</v>
      </c>
      <c r="G11" s="15">
        <f t="shared" si="1"/>
        <v>140.0903387999999</v>
      </c>
      <c r="H11" s="14">
        <f t="shared" si="1"/>
        <v>166.17694557600026</v>
      </c>
      <c r="I11"/>
    </row>
    <row r="12" spans="2:9" ht="12.75">
      <c r="B12" s="2" t="s">
        <v>31</v>
      </c>
      <c r="C12" s="14">
        <f aca="true" t="shared" si="2" ref="C12:H12">C11+C7</f>
        <v>80</v>
      </c>
      <c r="D12" s="14">
        <f t="shared" si="2"/>
        <v>112.34999999999991</v>
      </c>
      <c r="E12" s="15">
        <f t="shared" si="2"/>
        <v>129.84700000000004</v>
      </c>
      <c r="F12" s="15">
        <f t="shared" si="2"/>
        <v>153.95993999999985</v>
      </c>
      <c r="G12" s="15">
        <f t="shared" si="2"/>
        <v>182.8583387999999</v>
      </c>
      <c r="H12" s="14">
        <f t="shared" si="2"/>
        <v>217.49854557600025</v>
      </c>
      <c r="I12"/>
    </row>
    <row r="13" spans="2:9" ht="12.75">
      <c r="B13" s="2"/>
      <c r="C13" s="2"/>
      <c r="D13" s="2"/>
      <c r="E13" s="2"/>
      <c r="F13" s="2"/>
      <c r="G13" s="2"/>
      <c r="H13" s="2"/>
      <c r="I13"/>
    </row>
    <row r="14" spans="2:9" ht="12.75">
      <c r="B14" s="2" t="s">
        <v>37</v>
      </c>
      <c r="C14" s="20">
        <v>20</v>
      </c>
      <c r="D14" s="2"/>
      <c r="E14" s="2"/>
      <c r="F14" s="2"/>
      <c r="G14" s="2"/>
      <c r="H14" s="2"/>
      <c r="I14"/>
    </row>
    <row r="15" spans="2:9" ht="12.75">
      <c r="B15" s="2" t="s">
        <v>38</v>
      </c>
      <c r="C15" s="20">
        <v>92</v>
      </c>
      <c r="D15" s="2"/>
      <c r="E15" s="14"/>
      <c r="F15" s="2"/>
      <c r="G15" s="2"/>
      <c r="H15" s="2"/>
      <c r="I15"/>
    </row>
    <row r="16" spans="2:9" ht="12.75">
      <c r="B16" s="2" t="s">
        <v>39</v>
      </c>
      <c r="C16" s="20">
        <v>9</v>
      </c>
      <c r="D16" s="2"/>
      <c r="E16" s="2"/>
      <c r="F16" s="2"/>
      <c r="G16" s="2"/>
      <c r="H16" s="2"/>
      <c r="I16"/>
    </row>
    <row r="17" spans="2:9" ht="12.75">
      <c r="B17" s="2" t="s">
        <v>40</v>
      </c>
      <c r="C17" s="20">
        <v>10</v>
      </c>
      <c r="D17" s="2"/>
      <c r="E17" s="2"/>
      <c r="F17" s="2"/>
      <c r="G17" s="2"/>
      <c r="H17" s="2"/>
      <c r="I17"/>
    </row>
    <row r="18" spans="2:9" ht="12.75">
      <c r="B18" s="2" t="s">
        <v>41</v>
      </c>
      <c r="C18" s="20">
        <v>12.5</v>
      </c>
      <c r="D18" s="2"/>
      <c r="E18" s="2"/>
      <c r="F18" s="2"/>
      <c r="G18" s="2"/>
      <c r="H18" s="2"/>
      <c r="I18"/>
    </row>
    <row r="19" spans="2:9" ht="12.75">
      <c r="B19" s="2"/>
      <c r="C19" s="2"/>
      <c r="D19" s="2"/>
      <c r="E19" s="2"/>
      <c r="F19" s="2"/>
      <c r="G19" s="2"/>
      <c r="H19" s="2"/>
      <c r="I19"/>
    </row>
  </sheetData>
  <sheetProtection sheet="1" objects="1" scenarios="1"/>
  <mergeCells count="1">
    <mergeCell ref="B2:I2"/>
  </mergeCells>
  <dataValidations count="2">
    <dataValidation type="decimal" allowBlank="1" showInputMessage="1" showErrorMessage="1" sqref="C15 C18">
      <formula1>0</formula1>
      <formula2>1000</formula2>
    </dataValidation>
    <dataValidation type="decimal" allowBlank="1" showInputMessage="1" showErrorMessage="1" sqref="C16:C17">
      <formula1>0</formula1>
      <formula2>100</formula2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23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18" customWidth="1"/>
    <col min="2" max="2" width="42.140625" style="18" customWidth="1"/>
    <col min="3" max="9" width="9.140625" style="18" customWidth="1"/>
    <col min="10" max="10" width="7.00390625" style="18" customWidth="1"/>
    <col min="11" max="16384" width="9.140625" style="18" customWidth="1"/>
  </cols>
  <sheetData>
    <row r="1" ht="36.75" customHeight="1"/>
    <row r="2" spans="2:10" ht="12.75">
      <c r="B2" s="81" t="s">
        <v>142</v>
      </c>
      <c r="C2" s="81"/>
      <c r="D2" s="81"/>
      <c r="E2" s="81"/>
      <c r="F2" s="81"/>
      <c r="G2" s="81"/>
      <c r="H2" s="81"/>
      <c r="I2" s="81"/>
      <c r="J2" s="83"/>
    </row>
    <row r="3" spans="2:10" ht="12.75">
      <c r="B3" s="9"/>
      <c r="C3" s="9"/>
      <c r="D3" s="9"/>
      <c r="E3" s="9"/>
      <c r="F3" s="9"/>
      <c r="G3" s="9"/>
      <c r="H3" s="9"/>
      <c r="I3" s="9"/>
      <c r="J3" s="2"/>
    </row>
    <row r="4" spans="2:10" ht="12.75">
      <c r="B4"/>
      <c r="C4" s="12">
        <v>2008</v>
      </c>
      <c r="D4" s="12">
        <v>2009</v>
      </c>
      <c r="E4" s="13">
        <v>2010</v>
      </c>
      <c r="F4" s="13">
        <v>2011</v>
      </c>
      <c r="G4" s="13">
        <v>2012</v>
      </c>
      <c r="H4" s="12">
        <v>2013</v>
      </c>
      <c r="I4"/>
      <c r="J4" s="2"/>
    </row>
    <row r="5" spans="2:10" ht="12.75">
      <c r="B5" t="s">
        <v>127</v>
      </c>
      <c r="C5" s="37"/>
      <c r="D5" s="37"/>
      <c r="E5" s="38"/>
      <c r="F5" s="38"/>
      <c r="G5" s="38"/>
      <c r="H5" s="37"/>
      <c r="I5"/>
      <c r="J5" s="2"/>
    </row>
    <row r="6" spans="2:10" ht="12.75">
      <c r="B6" t="s">
        <v>128</v>
      </c>
      <c r="C6" s="14">
        <f>'TABLE 19.8'!C12</f>
        <v>80</v>
      </c>
      <c r="D6" s="14">
        <f>'TABLE 19.8'!D12</f>
        <v>112.34999999999991</v>
      </c>
      <c r="E6" s="14">
        <f>'TABLE 19.8'!E12</f>
        <v>129.84700000000004</v>
      </c>
      <c r="F6" s="14">
        <f>'TABLE 19.8'!F12</f>
        <v>153.95993999999985</v>
      </c>
      <c r="G6" s="14">
        <f>'TABLE 19.8'!G12</f>
        <v>182.8583387999999</v>
      </c>
      <c r="H6" s="14">
        <f>'TABLE 19.8'!H12</f>
        <v>217.49854557600025</v>
      </c>
      <c r="I6"/>
      <c r="J6" s="2"/>
    </row>
    <row r="7" spans="2:10" ht="12.75">
      <c r="B7"/>
      <c r="C7" s="14"/>
      <c r="D7" s="14"/>
      <c r="E7" s="14"/>
      <c r="F7" s="14"/>
      <c r="G7" s="14"/>
      <c r="H7" s="14"/>
      <c r="I7"/>
      <c r="J7" s="2"/>
    </row>
    <row r="8" spans="2:10" ht="12.75">
      <c r="B8" t="s">
        <v>129</v>
      </c>
      <c r="C8" s="14"/>
      <c r="D8" s="14"/>
      <c r="E8" s="14"/>
      <c r="F8" s="14"/>
      <c r="G8" s="14"/>
      <c r="H8" s="14"/>
      <c r="I8"/>
      <c r="J8" s="2"/>
    </row>
    <row r="9" spans="2:10" ht="12.75">
      <c r="B9" t="s">
        <v>32</v>
      </c>
      <c r="C9" s="14">
        <f>('TABLE 19.2'!C$11-'TABLE 19.2'!C$24)-('TABLE 19.2'!E$11-'TABLE 19.2'!E$24)</f>
        <v>50</v>
      </c>
      <c r="D9" s="14">
        <f>'TABLE 19.10'!D5-'TABLE 19.10'!C5</f>
        <v>100.39999999999998</v>
      </c>
      <c r="E9" s="15">
        <f>'TABLE 19.10'!E5-'TABLE 19.10'!D5</f>
        <v>58.08000000000004</v>
      </c>
      <c r="F9" s="15">
        <f>'TABLE 19.10'!F5-'TABLE 19.10'!E5</f>
        <v>69.69599999999997</v>
      </c>
      <c r="G9" s="15">
        <f>'TABLE 19.10'!G5-'TABLE 19.10'!F5</f>
        <v>83.6352</v>
      </c>
      <c r="H9" s="14">
        <f>'TABLE 19.10'!H5-'TABLE 19.10'!G5</f>
        <v>100.36224000000004</v>
      </c>
      <c r="I9" s="2"/>
      <c r="J9" s="2"/>
    </row>
    <row r="10" spans="2:10" ht="12.75">
      <c r="B10" t="s">
        <v>33</v>
      </c>
      <c r="C10" s="14">
        <f>'TABLE 19.2'!C14-'TABLE 19.2'!E14</f>
        <v>30</v>
      </c>
      <c r="D10" s="16">
        <f>+'TABLE 19.8'!D7+$C$21*'TABLE 19.8'!D5/100-'TABLE 19.2'!C16</f>
        <v>102.5</v>
      </c>
      <c r="E10" s="15">
        <f>+'TABLE 19.8'!E7+'TABLE 19.10'!E6-'TABLE 19.10'!D6</f>
        <v>95.69999999999999</v>
      </c>
      <c r="F10" s="15">
        <f>+'TABLE 19.8'!F7+'TABLE 19.10'!F6-'TABLE 19.10'!E6</f>
        <v>114.83999999999997</v>
      </c>
      <c r="G10" s="15">
        <f>+'TABLE 19.8'!G7+'TABLE 19.10'!G6-'TABLE 19.10'!F6</f>
        <v>137.80800000000005</v>
      </c>
      <c r="H10" s="16">
        <f>+'TABLE 19.8'!H7+'TABLE 19.10'!H6-'TABLE 19.10'!G6</f>
        <v>165.3696</v>
      </c>
      <c r="I10" s="2"/>
      <c r="J10" s="2"/>
    </row>
    <row r="11" spans="2:10" ht="12.75">
      <c r="B11" t="s">
        <v>34</v>
      </c>
      <c r="C11" s="14">
        <f>'TABLE 19.1'!F14</f>
        <v>30</v>
      </c>
      <c r="D11" s="14">
        <f>$C$22*'TABLE 19.8'!D11/100</f>
        <v>53.90999999999995</v>
      </c>
      <c r="E11" s="15">
        <f>$C$22*'TABLE 19.8'!E11/100</f>
        <v>60.088200000000036</v>
      </c>
      <c r="F11" s="15">
        <f>$C$22*'TABLE 19.8'!F11/100</f>
        <v>70.99196399999991</v>
      </c>
      <c r="G11" s="15">
        <f>$C$22*'TABLE 19.8'!G11/100</f>
        <v>84.05420327999995</v>
      </c>
      <c r="H11" s="14">
        <f>$C$22*'TABLE 19.8'!H11/100</f>
        <v>99.70616734560015</v>
      </c>
      <c r="I11" s="2"/>
      <c r="J11" s="2"/>
    </row>
    <row r="12" spans="2:10" ht="12.75">
      <c r="B12" t="s">
        <v>35</v>
      </c>
      <c r="C12" s="14">
        <f aca="true" t="shared" si="0" ref="C12:H12">SUM(C9:C11)</f>
        <v>110</v>
      </c>
      <c r="D12" s="14">
        <f t="shared" si="0"/>
        <v>256.80999999999995</v>
      </c>
      <c r="E12" s="15">
        <f t="shared" si="0"/>
        <v>213.86820000000006</v>
      </c>
      <c r="F12" s="15">
        <f t="shared" si="0"/>
        <v>255.52796399999986</v>
      </c>
      <c r="G12" s="15">
        <f t="shared" si="0"/>
        <v>305.49740328</v>
      </c>
      <c r="H12" s="14">
        <f t="shared" si="0"/>
        <v>365.43800734560017</v>
      </c>
      <c r="I12" s="2"/>
      <c r="J12" s="2"/>
    </row>
    <row r="13" spans="2:10" ht="12.75">
      <c r="B13"/>
      <c r="C13" s="14"/>
      <c r="D13" s="14"/>
      <c r="E13" s="15"/>
      <c r="F13" s="15"/>
      <c r="G13" s="15"/>
      <c r="H13" s="14"/>
      <c r="I13" s="2"/>
      <c r="J13" s="2"/>
    </row>
    <row r="14" spans="2:10" ht="12.75">
      <c r="B14" t="s">
        <v>36</v>
      </c>
      <c r="C14" s="14">
        <f>C12-'TABLE 19.8'!C12</f>
        <v>30</v>
      </c>
      <c r="D14" s="14">
        <f>D12-'TABLE 19.8'!D12</f>
        <v>144.46000000000004</v>
      </c>
      <c r="E14" s="15">
        <f>E12-'TABLE 19.8'!E12</f>
        <v>84.02120000000002</v>
      </c>
      <c r="F14" s="15">
        <f>F12-'TABLE 19.8'!F12</f>
        <v>101.56802400000001</v>
      </c>
      <c r="G14" s="15">
        <f>G12-'TABLE 19.8'!G12</f>
        <v>122.63906448000012</v>
      </c>
      <c r="H14" s="14">
        <f>H12-'TABLE 19.8'!H12</f>
        <v>147.93946176959992</v>
      </c>
      <c r="I14" s="2"/>
      <c r="J14" s="2"/>
    </row>
    <row r="15" spans="2:10" ht="12.75">
      <c r="B15"/>
      <c r="C15" s="2"/>
      <c r="D15" s="2"/>
      <c r="E15" s="2"/>
      <c r="F15" s="2"/>
      <c r="G15" s="2"/>
      <c r="H15" s="2"/>
      <c r="I15" s="2"/>
      <c r="J15" s="2"/>
    </row>
    <row r="16" spans="2:10" ht="12.75">
      <c r="B16" s="2" t="s">
        <v>37</v>
      </c>
      <c r="C16" s="2">
        <f>'TABLE 19.8'!C14</f>
        <v>20</v>
      </c>
      <c r="D16"/>
      <c r="E16"/>
      <c r="F16"/>
      <c r="G16"/>
      <c r="H16"/>
      <c r="I16"/>
      <c r="J16" s="2"/>
    </row>
    <row r="17" spans="2:10" ht="12.75">
      <c r="B17" s="2" t="s">
        <v>38</v>
      </c>
      <c r="C17" s="2">
        <f>'TABLE 19.8'!C15</f>
        <v>92</v>
      </c>
      <c r="D17"/>
      <c r="E17"/>
      <c r="F17"/>
      <c r="G17"/>
      <c r="H17"/>
      <c r="I17"/>
      <c r="J17" s="2"/>
    </row>
    <row r="18" spans="2:10" ht="12.75">
      <c r="B18" s="2" t="s">
        <v>39</v>
      </c>
      <c r="C18" s="2">
        <f>'TABLE 19.8'!C16</f>
        <v>9</v>
      </c>
      <c r="D18"/>
      <c r="E18"/>
      <c r="F18"/>
      <c r="G18"/>
      <c r="H18"/>
      <c r="I18"/>
      <c r="J18" s="2"/>
    </row>
    <row r="19" spans="2:10" ht="12.75">
      <c r="B19" s="2" t="s">
        <v>40</v>
      </c>
      <c r="C19" s="2">
        <f>'TABLE 19.8'!C17</f>
        <v>10</v>
      </c>
      <c r="D19"/>
      <c r="E19"/>
      <c r="F19"/>
      <c r="G19"/>
      <c r="H19"/>
      <c r="I19"/>
      <c r="J19" s="2"/>
    </row>
    <row r="20" spans="2:10" ht="12.75">
      <c r="B20" t="s">
        <v>43</v>
      </c>
      <c r="C20" s="20">
        <v>11</v>
      </c>
      <c r="D20"/>
      <c r="E20"/>
      <c r="F20"/>
      <c r="G20"/>
      <c r="H20"/>
      <c r="I20"/>
      <c r="J20" s="2"/>
    </row>
    <row r="21" spans="2:10" ht="12.75">
      <c r="B21" s="2" t="s">
        <v>41</v>
      </c>
      <c r="C21" s="2">
        <f>'TABLE 19.8'!C18</f>
        <v>12.5</v>
      </c>
      <c r="D21"/>
      <c r="E21"/>
      <c r="F21"/>
      <c r="G21"/>
      <c r="H21"/>
      <c r="I21"/>
      <c r="J21" s="2"/>
    </row>
    <row r="22" spans="2:10" ht="12.75">
      <c r="B22" t="s">
        <v>42</v>
      </c>
      <c r="C22" s="20">
        <v>60</v>
      </c>
      <c r="D22"/>
      <c r="E22"/>
      <c r="F22"/>
      <c r="G22"/>
      <c r="H22"/>
      <c r="I22"/>
      <c r="J22" s="2"/>
    </row>
    <row r="23" spans="2:10" ht="12.75">
      <c r="B23"/>
      <c r="C23"/>
      <c r="D23"/>
      <c r="E23"/>
      <c r="F23"/>
      <c r="G23"/>
      <c r="H23"/>
      <c r="I23"/>
      <c r="J23" s="2"/>
    </row>
  </sheetData>
  <sheetProtection sheet="1" objects="1" scenarios="1"/>
  <mergeCells count="1">
    <mergeCell ref="B2:J2"/>
  </mergeCells>
  <dataValidations count="2">
    <dataValidation type="whole" allowBlank="1" showInputMessage="1" showErrorMessage="1" sqref="C20">
      <formula1>0</formula1>
      <formula2>1000</formula2>
    </dataValidation>
    <dataValidation type="whole" allowBlank="1" showInputMessage="1" showErrorMessage="1" sqref="C22">
      <formula1>0</formula1>
      <formula2>100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Brealey</dc:creator>
  <cp:keywords/>
  <dc:description/>
  <cp:lastModifiedBy>gunveen.kaur</cp:lastModifiedBy>
  <dcterms:created xsi:type="dcterms:W3CDTF">2004-07-28T16:17:22Z</dcterms:created>
  <dcterms:modified xsi:type="dcterms:W3CDTF">2010-05-20T15:34:57Z</dcterms:modified>
  <cp:category/>
  <cp:version/>
  <cp:contentType/>
  <cp:contentStatus/>
</cp:coreProperties>
</file>