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040" activeTab="0"/>
  </bookViews>
  <sheets>
    <sheet name="TABLE 6.1" sheetId="1" r:id="rId1"/>
    <sheet name="TABLE 6.2" sheetId="2" r:id="rId2"/>
    <sheet name="TABLE 6.4" sheetId="3" r:id="rId3"/>
    <sheet name="TABLES 6.5-6.6" sheetId="4" r:id="rId4"/>
  </sheets>
  <definedNames/>
  <calcPr fullCalcOnLoad="1"/>
</workbook>
</file>

<file path=xl/sharedStrings.xml><?xml version="1.0" encoding="utf-8"?>
<sst xmlns="http://schemas.openxmlformats.org/spreadsheetml/2006/main" count="94" uniqueCount="62">
  <si>
    <t>Period</t>
  </si>
  <si>
    <t>Sales</t>
  </si>
  <si>
    <t>Cost of goods sold</t>
  </si>
  <si>
    <t>Other costs</t>
  </si>
  <si>
    <t>Capital investment</t>
  </si>
  <si>
    <t>Accumulated depn.</t>
  </si>
  <si>
    <t>Year-end book value</t>
  </si>
  <si>
    <t>Working capital</t>
  </si>
  <si>
    <t>1.</t>
  </si>
  <si>
    <t>2.</t>
  </si>
  <si>
    <t>Total book value (3 + 4)</t>
  </si>
  <si>
    <t>Depreciation</t>
  </si>
  <si>
    <t>Pretax profit</t>
  </si>
  <si>
    <t>Profit after tax (10 - 11)</t>
  </si>
  <si>
    <t>Notes: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</si>
  <si>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</si>
  <si>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</si>
  <si>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</si>
  <si>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</si>
  <si>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</si>
  <si>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</si>
  <si>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</si>
  <si>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</si>
  <si>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</si>
  <si>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</si>
  <si>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No. of years depreciation </t>
  </si>
  <si>
    <t>Assumed salvage value in depreciation calculation</t>
  </si>
  <si>
    <t>Tax rate (percent)</t>
  </si>
  <si>
    <t>Change in working capital</t>
  </si>
  <si>
    <t>Capital investment and disposal</t>
  </si>
  <si>
    <t>Net present value =</t>
  </si>
  <si>
    <t>Cost of capital (percent)</t>
  </si>
  <si>
    <t>3-year</t>
  </si>
  <si>
    <t>5-year</t>
  </si>
  <si>
    <t>7-year</t>
  </si>
  <si>
    <t>10-year</t>
  </si>
  <si>
    <t>Tax</t>
  </si>
  <si>
    <t xml:space="preserve">Present value </t>
  </si>
  <si>
    <t>15-year</t>
  </si>
  <si>
    <t>20-year</t>
  </si>
  <si>
    <t>Capital investment &amp; disposal</t>
  </si>
  <si>
    <t>Tax depreciation</t>
  </si>
  <si>
    <t>Pretax profits</t>
  </si>
  <si>
    <t>Tax depreciation (MACRS % x depreciable investment)</t>
  </si>
  <si>
    <t>No. of years depreciation (3, 5 or 7 years only)</t>
  </si>
  <si>
    <t>MACRS %</t>
  </si>
  <si>
    <t>Years</t>
  </si>
  <si>
    <t>Recovery-Period</t>
  </si>
  <si>
    <t>Class</t>
  </si>
  <si>
    <t>TABLE 6.1 IM&amp;C's guano project -- projections ($ thousands) reflecting inflation and straight line depreciation</t>
  </si>
  <si>
    <t xml:space="preserve">TABLE 6.2  IM&amp;C's guano project -- initial cash flow analysis with straight-line depreciation ($ thousands) </t>
  </si>
  <si>
    <t>Go back to Table 6.1 to change Sales, Cost of goods sold, etc.</t>
  </si>
  <si>
    <t>Operating cash flow  (3 - 4 - 5 - 6)</t>
  </si>
  <si>
    <t xml:space="preserve">  Sales</t>
  </si>
  <si>
    <t xml:space="preserve">  Cost of goods sold</t>
  </si>
  <si>
    <t xml:space="preserve">  Other costs</t>
  </si>
  <si>
    <t xml:space="preserve">  Tax</t>
  </si>
  <si>
    <t>Net cash flow (1 + 2 + 3)</t>
  </si>
  <si>
    <t>TABLE 6.5  Tax payments on IM&amp;C's guano project ($ thousands)</t>
  </si>
  <si>
    <t xml:space="preserve">      TABLE 6.4 Tax Depreciation Schedules by Recovery-Period Class</t>
  </si>
  <si>
    <t>Note: Vary depreciable life by changing inputs in these tables. Go back to Tables 6.1 or 6.2 to change sales, cost of goods sold, cost of capital etc.</t>
  </si>
  <si>
    <t xml:space="preserve">TABLE 6.6  IM&amp;C's guano project -- revised cash flow analysis with MACRS depreciation ($ thousands)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</si>
</sst>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 applyProtection="1" quotePrefix="1">
      <alignment/>
      <protection/>
    </xf>
    <xf numFmtId="0" fontId="2" fillId="0" borderId="2" xfId="0" applyFont="1" applyBorder="1" applyAlignment="1" quotePrefix="1">
      <alignment/>
    </xf>
    <xf numFmtId="0" fontId="0" fillId="2" borderId="0" xfId="0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0" fontId="0" fillId="3" borderId="0" xfId="0" applyFill="1" applyAlignment="1">
      <alignment/>
    </xf>
    <xf numFmtId="3" fontId="0" fillId="4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14.00390625" style="25" customWidth="1"/>
    <col min="2" max="2" width="6.421875" style="0" customWidth="1"/>
    <col min="3" max="3" width="20.00390625" style="0" customWidth="1"/>
    <col min="13" max="16384" width="0" style="0" hidden="1" customWidth="1"/>
  </cols>
  <sheetData>
    <row r="1" s="25" customFormat="1" ht="25.5" customHeight="1"/>
    <row r="2" spans="2:12" ht="12.75"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>
      <c r="C3" s="2"/>
    </row>
    <row r="4" spans="4:11" ht="13.5" thickBot="1">
      <c r="D4" s="11"/>
      <c r="E4" s="11"/>
      <c r="F4" s="11"/>
      <c r="G4" s="11"/>
      <c r="H4" s="10" t="s">
        <v>0</v>
      </c>
      <c r="I4" s="11"/>
      <c r="J4" s="11"/>
      <c r="K4" s="11"/>
    </row>
    <row r="5" spans="2:11" ht="13.5" thickBot="1">
      <c r="B5" s="3"/>
      <c r="C5" s="3"/>
      <c r="D5" s="9">
        <v>0</v>
      </c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</row>
    <row r="6" spans="2:11" ht="12.75">
      <c r="B6" s="4" t="s">
        <v>8</v>
      </c>
      <c r="C6" t="s">
        <v>4</v>
      </c>
      <c r="D6" s="24">
        <v>10000</v>
      </c>
      <c r="E6" s="16"/>
      <c r="F6" s="16"/>
      <c r="G6" s="16"/>
      <c r="H6" s="16"/>
      <c r="I6" s="16"/>
      <c r="J6" s="16"/>
      <c r="K6" s="24">
        <v>-1949</v>
      </c>
    </row>
    <row r="7" spans="2:11" ht="12.75">
      <c r="B7" s="4" t="s">
        <v>9</v>
      </c>
      <c r="C7" t="s">
        <v>5</v>
      </c>
      <c r="D7" s="16"/>
      <c r="E7" s="16">
        <f aca="true" t="shared" si="0" ref="E7:K7">IF(E14=0,0,D7+E14)</f>
        <v>1583.3333333333333</v>
      </c>
      <c r="F7" s="16">
        <f t="shared" si="0"/>
        <v>3166.6666666666665</v>
      </c>
      <c r="G7" s="16">
        <f t="shared" si="0"/>
        <v>4750</v>
      </c>
      <c r="H7" s="16">
        <f t="shared" si="0"/>
        <v>6333.333333333333</v>
      </c>
      <c r="I7" s="16">
        <f t="shared" si="0"/>
        <v>7916.666666666666</v>
      </c>
      <c r="J7" s="16">
        <f t="shared" si="0"/>
        <v>9500</v>
      </c>
      <c r="K7" s="16">
        <f t="shared" si="0"/>
        <v>0</v>
      </c>
    </row>
    <row r="8" spans="2:11" ht="12.75">
      <c r="B8" s="4" t="s">
        <v>15</v>
      </c>
      <c r="C8" t="s">
        <v>6</v>
      </c>
      <c r="D8" s="16">
        <f>$D6-D14</f>
        <v>10000</v>
      </c>
      <c r="E8" s="16">
        <f aca="true" t="shared" si="1" ref="E8:K8">IF(E5&gt;$G$20,0,D8-E14)</f>
        <v>8416.666666666666</v>
      </c>
      <c r="F8" s="16">
        <f t="shared" si="1"/>
        <v>6833.333333333333</v>
      </c>
      <c r="G8" s="16">
        <f t="shared" si="1"/>
        <v>5250</v>
      </c>
      <c r="H8" s="16">
        <f t="shared" si="1"/>
        <v>3666.666666666667</v>
      </c>
      <c r="I8" s="16">
        <f t="shared" si="1"/>
        <v>2083.333333333334</v>
      </c>
      <c r="J8" s="16">
        <f t="shared" si="1"/>
        <v>500.0000000000007</v>
      </c>
      <c r="K8" s="16">
        <f t="shared" si="1"/>
        <v>0</v>
      </c>
    </row>
    <row r="9" spans="2:11" ht="12.75">
      <c r="B9" s="4" t="s">
        <v>16</v>
      </c>
      <c r="C9" t="s">
        <v>7</v>
      </c>
      <c r="D9" s="16"/>
      <c r="E9" s="24">
        <v>550</v>
      </c>
      <c r="F9" s="24">
        <v>1289</v>
      </c>
      <c r="G9" s="24">
        <v>3261</v>
      </c>
      <c r="H9" s="24">
        <v>4890</v>
      </c>
      <c r="I9" s="24">
        <v>3583</v>
      </c>
      <c r="J9" s="24">
        <v>2002</v>
      </c>
      <c r="K9" s="24">
        <v>0</v>
      </c>
    </row>
    <row r="10" spans="2:11" ht="12.75">
      <c r="B10" s="4" t="s">
        <v>17</v>
      </c>
      <c r="C10" t="s">
        <v>10</v>
      </c>
      <c r="D10" s="16"/>
      <c r="E10" s="16">
        <f>SUM(E8:E9)</f>
        <v>8966.666666666666</v>
      </c>
      <c r="F10" s="16">
        <f aca="true" t="shared" si="2" ref="F10:K10">SUM(F8:F9)</f>
        <v>8122.333333333333</v>
      </c>
      <c r="G10" s="16">
        <f t="shared" si="2"/>
        <v>8511</v>
      </c>
      <c r="H10" s="16">
        <f t="shared" si="2"/>
        <v>8556.666666666668</v>
      </c>
      <c r="I10" s="16">
        <f t="shared" si="2"/>
        <v>5666.333333333334</v>
      </c>
      <c r="J10" s="16">
        <f t="shared" si="2"/>
        <v>2502.000000000001</v>
      </c>
      <c r="K10" s="16">
        <f t="shared" si="2"/>
        <v>0</v>
      </c>
    </row>
    <row r="11" spans="2:11" ht="12.75">
      <c r="B11" s="4" t="s">
        <v>18</v>
      </c>
      <c r="C11" t="s">
        <v>1</v>
      </c>
      <c r="D11" s="24"/>
      <c r="E11" s="24">
        <v>523</v>
      </c>
      <c r="F11" s="24">
        <v>12887</v>
      </c>
      <c r="G11" s="24">
        <v>32610</v>
      </c>
      <c r="H11" s="24">
        <v>48901</v>
      </c>
      <c r="I11" s="24">
        <v>35834</v>
      </c>
      <c r="J11" s="24">
        <v>19717</v>
      </c>
      <c r="K11" s="24"/>
    </row>
    <row r="12" spans="2:11" ht="12.75">
      <c r="B12" s="4" t="s">
        <v>19</v>
      </c>
      <c r="C12" t="s">
        <v>2</v>
      </c>
      <c r="D12" s="24"/>
      <c r="E12" s="24">
        <v>837</v>
      </c>
      <c r="F12" s="24">
        <v>7729</v>
      </c>
      <c r="G12" s="24">
        <v>19552</v>
      </c>
      <c r="H12" s="24">
        <v>29345</v>
      </c>
      <c r="I12" s="24">
        <v>21492</v>
      </c>
      <c r="J12" s="24">
        <v>11830</v>
      </c>
      <c r="K12" s="24"/>
    </row>
    <row r="13" spans="2:11" ht="12.75">
      <c r="B13" s="4" t="s">
        <v>20</v>
      </c>
      <c r="C13" t="s">
        <v>3</v>
      </c>
      <c r="D13" s="24">
        <v>4000</v>
      </c>
      <c r="E13" s="24">
        <v>2200</v>
      </c>
      <c r="F13" s="24">
        <v>1210</v>
      </c>
      <c r="G13" s="24">
        <v>1331</v>
      </c>
      <c r="H13" s="24">
        <v>1464</v>
      </c>
      <c r="I13" s="24">
        <v>1611</v>
      </c>
      <c r="J13" s="24">
        <v>1772</v>
      </c>
      <c r="K13" s="24"/>
    </row>
    <row r="14" spans="2:11" ht="12.75">
      <c r="B14" s="4" t="s">
        <v>21</v>
      </c>
      <c r="C14" t="s">
        <v>11</v>
      </c>
      <c r="D14" s="16"/>
      <c r="E14" s="16">
        <f aca="true" t="shared" si="3" ref="E14:K14">IF(E5&gt;$G$20,0,($D$6-$G$21)/$G$20)</f>
        <v>1583.3333333333333</v>
      </c>
      <c r="F14" s="16">
        <f t="shared" si="3"/>
        <v>1583.3333333333333</v>
      </c>
      <c r="G14" s="16">
        <f t="shared" si="3"/>
        <v>1583.3333333333333</v>
      </c>
      <c r="H14" s="16">
        <f t="shared" si="3"/>
        <v>1583.3333333333333</v>
      </c>
      <c r="I14" s="16">
        <f t="shared" si="3"/>
        <v>1583.3333333333333</v>
      </c>
      <c r="J14" s="16">
        <f t="shared" si="3"/>
        <v>1583.3333333333333</v>
      </c>
      <c r="K14" s="16">
        <f t="shared" si="3"/>
        <v>0</v>
      </c>
    </row>
    <row r="15" spans="2:11" ht="12.75">
      <c r="B15" s="4" t="s">
        <v>22</v>
      </c>
      <c r="C15" t="s">
        <v>12</v>
      </c>
      <c r="D15" s="16">
        <f aca="true" t="shared" si="4" ref="D15:J15">+D11-D12-D13-D14</f>
        <v>-4000</v>
      </c>
      <c r="E15" s="16">
        <f t="shared" si="4"/>
        <v>-4097.333333333333</v>
      </c>
      <c r="F15" s="16">
        <f t="shared" si="4"/>
        <v>2364.666666666667</v>
      </c>
      <c r="G15" s="16">
        <f t="shared" si="4"/>
        <v>10143.666666666666</v>
      </c>
      <c r="H15" s="16">
        <f t="shared" si="4"/>
        <v>16508.666666666668</v>
      </c>
      <c r="I15" s="16">
        <f t="shared" si="4"/>
        <v>11147.666666666666</v>
      </c>
      <c r="J15" s="16">
        <f t="shared" si="4"/>
        <v>4531.666666666667</v>
      </c>
      <c r="K15" s="16">
        <f>-K6-J8</f>
        <v>1448.9999999999993</v>
      </c>
    </row>
    <row r="16" spans="2:11" ht="12.75">
      <c r="B16" s="4" t="s">
        <v>23</v>
      </c>
      <c r="C16" t="s">
        <v>36</v>
      </c>
      <c r="D16" s="16">
        <f>0.01*$G$22*D15</f>
        <v>-1400.0000000000002</v>
      </c>
      <c r="E16" s="16">
        <f>0.01*$G$22*E15</f>
        <v>-1434.0666666666666</v>
      </c>
      <c r="F16" s="16">
        <f aca="true" t="shared" si="5" ref="F16:K16">0.01*$G$22*F15</f>
        <v>827.6333333333336</v>
      </c>
      <c r="G16" s="16">
        <f t="shared" si="5"/>
        <v>3550.2833333333333</v>
      </c>
      <c r="H16" s="16">
        <f t="shared" si="5"/>
        <v>5778.033333333335</v>
      </c>
      <c r="I16" s="16">
        <f t="shared" si="5"/>
        <v>3901.6833333333334</v>
      </c>
      <c r="J16" s="16">
        <f t="shared" si="5"/>
        <v>1586.0833333333335</v>
      </c>
      <c r="K16" s="16">
        <f t="shared" si="5"/>
        <v>507.1499999999998</v>
      </c>
    </row>
    <row r="17" spans="2:11" ht="12.75">
      <c r="B17" s="4" t="s">
        <v>24</v>
      </c>
      <c r="C17" t="s">
        <v>13</v>
      </c>
      <c r="D17" s="16">
        <f>+D15-D16</f>
        <v>-2600</v>
      </c>
      <c r="E17" s="16">
        <f aca="true" t="shared" si="6" ref="E17:K17">+E15-E16</f>
        <v>-2663.2666666666664</v>
      </c>
      <c r="F17" s="16">
        <f t="shared" si="6"/>
        <v>1537.0333333333333</v>
      </c>
      <c r="G17" s="16">
        <f t="shared" si="6"/>
        <v>6593.383333333333</v>
      </c>
      <c r="H17" s="16">
        <f t="shared" si="6"/>
        <v>10730.633333333333</v>
      </c>
      <c r="I17" s="16">
        <f t="shared" si="6"/>
        <v>7245.983333333333</v>
      </c>
      <c r="J17" s="16">
        <f t="shared" si="6"/>
        <v>2945.5833333333335</v>
      </c>
      <c r="K17" s="16">
        <f t="shared" si="6"/>
        <v>941.8499999999995</v>
      </c>
    </row>
    <row r="18" spans="4:11" ht="12.75">
      <c r="D18" s="1"/>
      <c r="E18" s="1"/>
      <c r="F18" s="1"/>
      <c r="G18" s="1"/>
      <c r="H18" s="1"/>
      <c r="I18" s="1"/>
      <c r="J18" s="1"/>
      <c r="K18" s="1"/>
    </row>
    <row r="19" spans="2:11" ht="12.75">
      <c r="B19" t="s">
        <v>14</v>
      </c>
      <c r="E19" s="1"/>
      <c r="F19" s="1"/>
      <c r="G19" s="1"/>
      <c r="H19" s="1"/>
      <c r="I19" s="1"/>
      <c r="J19" s="1"/>
      <c r="K19" s="1"/>
    </row>
    <row r="20" spans="3:11" ht="12.75">
      <c r="C20" t="s">
        <v>25</v>
      </c>
      <c r="E20" s="1"/>
      <c r="F20" s="1"/>
      <c r="G20" s="23">
        <v>6</v>
      </c>
      <c r="H20" s="1"/>
      <c r="I20" s="1"/>
      <c r="J20" s="1"/>
      <c r="K20" s="1"/>
    </row>
    <row r="21" spans="3:11" ht="12.75">
      <c r="C21" t="s">
        <v>26</v>
      </c>
      <c r="E21" s="1"/>
      <c r="F21" s="1"/>
      <c r="G21" s="23">
        <v>500</v>
      </c>
      <c r="H21" s="1"/>
      <c r="I21" s="1"/>
      <c r="J21" s="1"/>
      <c r="K21" s="1"/>
    </row>
    <row r="22" spans="3:11" ht="12.75">
      <c r="C22" t="s">
        <v>27</v>
      </c>
      <c r="E22" s="1"/>
      <c r="F22" s="1"/>
      <c r="G22" s="23">
        <v>35</v>
      </c>
      <c r="H22" s="1"/>
      <c r="I22" s="1"/>
      <c r="J22" s="1"/>
      <c r="K22" s="1"/>
    </row>
    <row r="23" spans="5:11" ht="12.75">
      <c r="E23" s="1"/>
      <c r="F23" s="1"/>
      <c r="G23" s="1"/>
      <c r="H23" s="1"/>
      <c r="I23" s="1"/>
      <c r="J23" s="1"/>
      <c r="K23" s="1"/>
    </row>
    <row r="24" spans="4:11" ht="12.75" hidden="1">
      <c r="D24" s="1"/>
      <c r="E24" s="1"/>
      <c r="F24" s="1"/>
      <c r="G24" s="1"/>
      <c r="H24" s="1"/>
      <c r="I24" s="1"/>
      <c r="J24" s="1"/>
      <c r="K24" s="1"/>
    </row>
  </sheetData>
  <sheetProtection sheet="1" objects="1" scenarios="1"/>
  <mergeCells count="1">
    <mergeCell ref="B2:L2"/>
  </mergeCells>
  <dataValidations count="4">
    <dataValidation type="decimal" operator="greaterThanOrEqual" allowBlank="1" showInputMessage="1" showErrorMessage="1" sqref="D6 E7:K7 D8:K8 E9:K9 E11:H11 D12 D9 D11:K12 D13:K13 G21">
      <formula1>0</formula1>
    </dataValidation>
    <dataValidation type="decimal" operator="lessThanOrEqual" allowBlank="1" showInputMessage="1" showErrorMessage="1" sqref="G20">
      <formula1>6</formula1>
    </dataValidation>
    <dataValidation type="decimal" allowBlank="1" showInputMessage="1" showErrorMessage="1" sqref="G22">
      <formula1>0</formula1>
      <formula2>100</formula2>
    </dataValidation>
    <dataValidation type="decimal" operator="lessThanOrEqual" allowBlank="1" showInputMessage="1" showErrorMessage="1" sqref="K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A1">
      <selection activeCell="A1" sqref="A1"/>
    </sheetView>
  </sheetViews>
  <sheetFormatPr defaultColWidth="9.140625" defaultRowHeight="12.75" zeroHeight="1"/>
  <cols>
    <col min="1" max="1" width="8.7109375" style="25" customWidth="1"/>
    <col min="2" max="2" width="6.28125" style="0" customWidth="1"/>
    <col min="3" max="3" width="32.8515625" style="0" customWidth="1"/>
    <col min="13" max="16384" width="0" style="0" hidden="1" customWidth="1"/>
  </cols>
  <sheetData>
    <row r="1" s="25" customFormat="1" ht="29.25" customHeight="1"/>
    <row r="2" spans="2:12" ht="12.75">
      <c r="B2" s="32" t="s">
        <v>50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7" ht="12.75">
      <c r="C3" s="6"/>
      <c r="D3" s="6"/>
      <c r="E3" s="6"/>
      <c r="F3" s="6"/>
      <c r="G3" s="6"/>
    </row>
    <row r="4" spans="4:11" ht="13.5" thickBot="1">
      <c r="D4" s="13"/>
      <c r="E4" s="13"/>
      <c r="F4" s="13"/>
      <c r="G4" s="13"/>
      <c r="H4" s="10" t="s">
        <v>0</v>
      </c>
      <c r="I4" s="13"/>
      <c r="J4" s="13"/>
      <c r="K4" s="13"/>
    </row>
    <row r="5" spans="4:11" ht="13.5" thickBot="1">
      <c r="D5" s="14">
        <v>0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</row>
    <row r="6" ht="12.75"/>
    <row r="7" spans="2:11" ht="12.75">
      <c r="B7" s="4">
        <v>1</v>
      </c>
      <c r="C7" t="s">
        <v>29</v>
      </c>
      <c r="D7" s="16">
        <f>-'TABLE 6.1'!D6</f>
        <v>-10000</v>
      </c>
      <c r="E7" s="16">
        <f>-'TABLE 6.1'!E6</f>
        <v>0</v>
      </c>
      <c r="F7" s="16">
        <f>-'TABLE 6.1'!F6</f>
        <v>0</v>
      </c>
      <c r="G7" s="16">
        <f>-'TABLE 6.1'!G6</f>
        <v>0</v>
      </c>
      <c r="H7" s="16">
        <f>-'TABLE 6.1'!H6</f>
        <v>0</v>
      </c>
      <c r="I7" s="16">
        <f>-'TABLE 6.1'!I6</f>
        <v>0</v>
      </c>
      <c r="J7" s="16">
        <f>-'TABLE 6.1'!J6</f>
        <v>0</v>
      </c>
      <c r="K7" s="16">
        <v>1442</v>
      </c>
    </row>
    <row r="8" spans="2:11" ht="12.75">
      <c r="B8" s="4" t="s">
        <v>9</v>
      </c>
      <c r="C8" t="s">
        <v>28</v>
      </c>
      <c r="D8" s="16"/>
      <c r="E8" s="16">
        <f>'TABLE 6.1'!D9-'TABLE 6.1'!E9</f>
        <v>-550</v>
      </c>
      <c r="F8" s="16">
        <f>'TABLE 6.1'!E9-'TABLE 6.1'!F9</f>
        <v>-739</v>
      </c>
      <c r="G8" s="16">
        <f>'TABLE 6.1'!F9-'TABLE 6.1'!G9</f>
        <v>-1972</v>
      </c>
      <c r="H8" s="16">
        <f>'TABLE 6.1'!G9-'TABLE 6.1'!H9</f>
        <v>-1629</v>
      </c>
      <c r="I8" s="16">
        <f>'TABLE 6.1'!H9-'TABLE 6.1'!I9</f>
        <v>1307</v>
      </c>
      <c r="J8" s="16">
        <f>'TABLE 6.1'!I9-'TABLE 6.1'!J9</f>
        <v>1581</v>
      </c>
      <c r="K8" s="16">
        <f>'TABLE 6.1'!J9-'TABLE 6.1'!K9</f>
        <v>2002</v>
      </c>
    </row>
    <row r="9" spans="2:11" ht="12.75">
      <c r="B9" s="4" t="s">
        <v>15</v>
      </c>
      <c r="C9" t="s">
        <v>53</v>
      </c>
      <c r="D9" s="16">
        <f>'TABLE 6.1'!D11</f>
        <v>0</v>
      </c>
      <c r="E9" s="16">
        <f>'TABLE 6.1'!E11</f>
        <v>523</v>
      </c>
      <c r="F9" s="16">
        <f>'TABLE 6.1'!F11</f>
        <v>12887</v>
      </c>
      <c r="G9" s="16">
        <f>'TABLE 6.1'!G11</f>
        <v>32610</v>
      </c>
      <c r="H9" s="16">
        <f>'TABLE 6.1'!H11</f>
        <v>48901</v>
      </c>
      <c r="I9" s="16">
        <f>'TABLE 6.1'!I11</f>
        <v>35834</v>
      </c>
      <c r="J9" s="16">
        <f>'TABLE 6.1'!J11</f>
        <v>19717</v>
      </c>
      <c r="K9" s="16">
        <f>'TABLE 6.1'!K11</f>
        <v>0</v>
      </c>
    </row>
    <row r="10" spans="2:11" ht="12.75">
      <c r="B10" s="4" t="s">
        <v>16</v>
      </c>
      <c r="C10" t="s">
        <v>54</v>
      </c>
      <c r="D10" s="16">
        <f>'TABLE 6.1'!D12</f>
        <v>0</v>
      </c>
      <c r="E10" s="16">
        <f>'TABLE 6.1'!E12</f>
        <v>837</v>
      </c>
      <c r="F10" s="16">
        <f>'TABLE 6.1'!F12</f>
        <v>7729</v>
      </c>
      <c r="G10" s="16">
        <f>'TABLE 6.1'!G12</f>
        <v>19552</v>
      </c>
      <c r="H10" s="16">
        <f>'TABLE 6.1'!H12</f>
        <v>29345</v>
      </c>
      <c r="I10" s="16">
        <f>'TABLE 6.1'!I12</f>
        <v>21492</v>
      </c>
      <c r="J10" s="16">
        <f>'TABLE 6.1'!J12</f>
        <v>11830</v>
      </c>
      <c r="K10" s="16">
        <f>'TABLE 6.1'!K12</f>
        <v>0</v>
      </c>
    </row>
    <row r="11" spans="2:11" ht="12.75">
      <c r="B11" s="4" t="s">
        <v>17</v>
      </c>
      <c r="C11" t="s">
        <v>55</v>
      </c>
      <c r="D11" s="16">
        <f>'TABLE 6.1'!D13</f>
        <v>4000</v>
      </c>
      <c r="E11" s="16">
        <f>'TABLE 6.1'!E13</f>
        <v>2200</v>
      </c>
      <c r="F11" s="16">
        <f>'TABLE 6.1'!F13</f>
        <v>1210</v>
      </c>
      <c r="G11" s="16">
        <f>'TABLE 6.1'!G13</f>
        <v>1331</v>
      </c>
      <c r="H11" s="16">
        <f>'TABLE 6.1'!H13</f>
        <v>1464</v>
      </c>
      <c r="I11" s="16">
        <f>'TABLE 6.1'!I13</f>
        <v>1611</v>
      </c>
      <c r="J11" s="16">
        <f>'TABLE 6.1'!J13</f>
        <v>1772</v>
      </c>
      <c r="K11" s="16">
        <f>'TABLE 6.1'!K13</f>
        <v>0</v>
      </c>
    </row>
    <row r="12" spans="2:11" ht="12.75">
      <c r="B12" s="4" t="s">
        <v>18</v>
      </c>
      <c r="C12" t="s">
        <v>56</v>
      </c>
      <c r="D12" s="16">
        <f>'TABLE 6.1'!D16</f>
        <v>-1400.0000000000002</v>
      </c>
      <c r="E12" s="16">
        <f>'TABLE 6.1'!E16</f>
        <v>-1434.0666666666666</v>
      </c>
      <c r="F12" s="16">
        <f>'TABLE 6.1'!F16</f>
        <v>827.6333333333336</v>
      </c>
      <c r="G12" s="16">
        <f>'TABLE 6.1'!G16</f>
        <v>3550.2833333333333</v>
      </c>
      <c r="H12" s="16">
        <f>'TABLE 6.1'!H16</f>
        <v>5778.033333333335</v>
      </c>
      <c r="I12" s="16">
        <f>'TABLE 6.1'!I16</f>
        <v>3901.6833333333334</v>
      </c>
      <c r="J12" s="16">
        <f>'TABLE 6.1'!J16</f>
        <v>1586.0833333333335</v>
      </c>
      <c r="K12" s="16"/>
    </row>
    <row r="13" spans="2:11" ht="12.75">
      <c r="B13" s="5">
        <v>7</v>
      </c>
      <c r="C13" t="s">
        <v>52</v>
      </c>
      <c r="D13" s="16">
        <f>+D9-D10-D11-D12</f>
        <v>-2600</v>
      </c>
      <c r="E13" s="16">
        <f>+E9-E10-E11-E12</f>
        <v>-1079.9333333333334</v>
      </c>
      <c r="F13" s="16">
        <f>+F9-F10-F11-F12</f>
        <v>3120.3666666666663</v>
      </c>
      <c r="G13" s="16">
        <f>+G9-G10-G11-G12</f>
        <v>8176.716666666667</v>
      </c>
      <c r="H13" s="16">
        <f>+H9-H10-H11-H12</f>
        <v>12313.966666666665</v>
      </c>
      <c r="I13" s="16">
        <f>+I9-I10-I11-I12</f>
        <v>8829.316666666666</v>
      </c>
      <c r="J13" s="16">
        <f>+J9-J10-J11-J12</f>
        <v>4528.916666666666</v>
      </c>
      <c r="K13" s="16"/>
    </row>
    <row r="14" spans="2:11" ht="12.75">
      <c r="B14" s="4" t="s">
        <v>20</v>
      </c>
      <c r="C14" t="s">
        <v>57</v>
      </c>
      <c r="D14" s="16">
        <f aca="true" t="shared" si="0" ref="D14:K14">+D13+D8+D7</f>
        <v>-12600</v>
      </c>
      <c r="E14" s="16">
        <f t="shared" si="0"/>
        <v>-1629.9333333333334</v>
      </c>
      <c r="F14" s="16">
        <f t="shared" si="0"/>
        <v>2381.3666666666663</v>
      </c>
      <c r="G14" s="16">
        <f t="shared" si="0"/>
        <v>6204.716666666667</v>
      </c>
      <c r="H14" s="16">
        <f t="shared" si="0"/>
        <v>10684.966666666665</v>
      </c>
      <c r="I14" s="16">
        <f t="shared" si="0"/>
        <v>10136.316666666666</v>
      </c>
      <c r="J14" s="16">
        <f t="shared" si="0"/>
        <v>6109.916666666666</v>
      </c>
      <c r="K14" s="16">
        <f t="shared" si="0"/>
        <v>3444</v>
      </c>
    </row>
    <row r="15" spans="2:11" ht="12.75">
      <c r="B15" s="4" t="s">
        <v>21</v>
      </c>
      <c r="C15" t="s">
        <v>37</v>
      </c>
      <c r="D15" s="16">
        <f aca="true" t="shared" si="1" ref="D15:K15">D14/((1+0.01*$D$19)^D5)</f>
        <v>-12600</v>
      </c>
      <c r="E15" s="16">
        <f t="shared" si="1"/>
        <v>-1358.2777777777778</v>
      </c>
      <c r="F15" s="16">
        <f t="shared" si="1"/>
        <v>1653.7268518518517</v>
      </c>
      <c r="G15" s="16">
        <f t="shared" si="1"/>
        <v>3590.6925154320993</v>
      </c>
      <c r="H15" s="16">
        <f t="shared" si="1"/>
        <v>5152.858153292181</v>
      </c>
      <c r="I15" s="16">
        <f t="shared" si="1"/>
        <v>4073.558331189986</v>
      </c>
      <c r="J15" s="16">
        <f t="shared" si="1"/>
        <v>2046.1987293524235</v>
      </c>
      <c r="K15" s="16">
        <f t="shared" si="1"/>
        <v>961.1571930727024</v>
      </c>
    </row>
    <row r="16" spans="2:11" ht="12.75">
      <c r="B16" s="4"/>
      <c r="E16" s="16"/>
      <c r="F16" s="16"/>
      <c r="G16" s="16"/>
      <c r="H16" s="16"/>
      <c r="I16" s="16"/>
      <c r="J16" s="16"/>
      <c r="K16" s="16"/>
    </row>
    <row r="17" spans="2:4" ht="12.75">
      <c r="B17" s="4"/>
      <c r="C17" t="s">
        <v>30</v>
      </c>
      <c r="D17" s="26">
        <f>SUM(D15:K15)</f>
        <v>3519.913996413467</v>
      </c>
    </row>
    <row r="18" ht="12.75">
      <c r="B18" s="4"/>
    </row>
    <row r="19" spans="3:4" ht="12.75">
      <c r="C19" t="s">
        <v>31</v>
      </c>
      <c r="D19" s="23">
        <v>20</v>
      </c>
    </row>
    <row r="20" spans="2:12" ht="13.5" thickBot="1">
      <c r="B20" s="7"/>
      <c r="C20" s="7"/>
      <c r="D20" s="18"/>
      <c r="E20" s="19"/>
      <c r="F20" s="7"/>
      <c r="G20" s="7"/>
      <c r="H20" s="7"/>
      <c r="I20" s="7"/>
      <c r="J20" s="7"/>
      <c r="K20" s="7"/>
      <c r="L20" s="7"/>
    </row>
    <row r="21" spans="2:12" ht="13.5" thickBot="1">
      <c r="B21" s="33" t="s">
        <v>51</v>
      </c>
      <c r="C21" s="34"/>
      <c r="D21" s="34"/>
      <c r="E21" s="35"/>
      <c r="F21" s="20"/>
      <c r="G21" s="20"/>
      <c r="H21" s="20"/>
      <c r="I21" s="20"/>
      <c r="J21" s="20"/>
      <c r="K21" s="20"/>
      <c r="L21" s="20"/>
    </row>
    <row r="22" ht="12.75"/>
    <row r="23" ht="12.75"/>
    <row r="24" ht="12.75"/>
  </sheetData>
  <sheetProtection/>
  <mergeCells count="2">
    <mergeCell ref="B2:L2"/>
    <mergeCell ref="B21:E21"/>
  </mergeCells>
  <dataValidations count="1">
    <dataValidation type="decimal" allowBlank="1" showInputMessage="1" showErrorMessage="1" sqref="D19:D20">
      <formula1>0</formula1>
      <formula2>100</formula2>
    </dataValidation>
  </dataValidations>
  <printOptions/>
  <pageMargins left="0.75" right="0.75" top="1" bottom="1" header="0.5" footer="0.5"/>
  <pageSetup orientation="portrait" paperSize="9"/>
  <ignoredErrors>
    <ignoredError sqref="B8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W13"/>
  <sheetViews>
    <sheetView workbookViewId="0" topLeftCell="A1">
      <selection activeCell="A1" sqref="A1"/>
    </sheetView>
  </sheetViews>
  <sheetFormatPr defaultColWidth="9.140625" defaultRowHeight="12.75" zeroHeight="1"/>
  <cols>
    <col min="1" max="1" width="11.140625" style="25" customWidth="1"/>
    <col min="2" max="2" width="16.140625" style="0" bestFit="1" customWidth="1"/>
    <col min="3" max="7" width="5.57421875" style="0" bestFit="1" customWidth="1"/>
    <col min="8" max="23" width="4.57421875" style="0" bestFit="1" customWidth="1"/>
    <col min="24" max="24" width="9.140625" style="25" customWidth="1"/>
    <col min="25" max="16384" width="0" style="0" hidden="1" customWidth="1"/>
  </cols>
  <sheetData>
    <row r="1" spans="2:23" ht="55.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ht="12.75">
      <c r="B2" s="38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2:23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2:23" ht="13.5" thickBot="1">
      <c r="B5" s="2" t="s">
        <v>47</v>
      </c>
      <c r="C5" s="36" t="s">
        <v>46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2:23" ht="13.5" thickBot="1">
      <c r="B6" s="12" t="s">
        <v>48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</row>
    <row r="7" spans="2:23" ht="12.75">
      <c r="B7" s="30" t="s">
        <v>32</v>
      </c>
      <c r="C7" s="31">
        <v>33.33</v>
      </c>
      <c r="D7" s="31">
        <v>44.45</v>
      </c>
      <c r="E7" s="31">
        <v>14.81</v>
      </c>
      <c r="F7" s="31">
        <v>7.41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2:23" ht="12.75">
      <c r="B8" s="30" t="s">
        <v>33</v>
      </c>
      <c r="C8" s="31">
        <v>20</v>
      </c>
      <c r="D8" s="31">
        <v>32</v>
      </c>
      <c r="E8" s="31">
        <v>19.2</v>
      </c>
      <c r="F8" s="31">
        <v>11.52</v>
      </c>
      <c r="G8" s="31">
        <v>11.52</v>
      </c>
      <c r="H8" s="31">
        <v>5.76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2.75">
      <c r="B9" s="30" t="s">
        <v>34</v>
      </c>
      <c r="C9" s="31">
        <v>14.29</v>
      </c>
      <c r="D9" s="31">
        <v>24.49</v>
      </c>
      <c r="E9" s="31">
        <v>17.49</v>
      </c>
      <c r="F9" s="31">
        <v>12.49</v>
      </c>
      <c r="G9" s="31">
        <v>8.93</v>
      </c>
      <c r="H9" s="31">
        <v>8.92</v>
      </c>
      <c r="I9" s="31">
        <v>8.93</v>
      </c>
      <c r="J9" s="31">
        <v>4.46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2:23" ht="12.75">
      <c r="B10" s="30" t="s">
        <v>35</v>
      </c>
      <c r="C10" s="31">
        <v>10</v>
      </c>
      <c r="D10" s="31">
        <v>18</v>
      </c>
      <c r="E10" s="31">
        <v>14.4</v>
      </c>
      <c r="F10" s="31">
        <v>11.52</v>
      </c>
      <c r="G10" s="31">
        <v>9.22</v>
      </c>
      <c r="H10" s="31">
        <v>7.37</v>
      </c>
      <c r="I10" s="31">
        <v>6.55</v>
      </c>
      <c r="J10" s="31">
        <v>6.55</v>
      </c>
      <c r="K10" s="31">
        <v>6.56</v>
      </c>
      <c r="L10" s="31">
        <v>6.55</v>
      </c>
      <c r="M10" s="31">
        <v>3.28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2:23" ht="12.75">
      <c r="B11" s="30" t="s">
        <v>38</v>
      </c>
      <c r="C11" s="31">
        <v>5</v>
      </c>
      <c r="D11" s="31">
        <v>9.5</v>
      </c>
      <c r="E11" s="31">
        <v>8.55</v>
      </c>
      <c r="F11" s="31">
        <v>7.7</v>
      </c>
      <c r="G11" s="31">
        <v>6.93</v>
      </c>
      <c r="H11" s="31">
        <v>6.23</v>
      </c>
      <c r="I11" s="31">
        <v>5.9</v>
      </c>
      <c r="J11" s="31">
        <v>5.9</v>
      </c>
      <c r="K11" s="31">
        <v>5.91</v>
      </c>
      <c r="L11" s="31">
        <v>5.9</v>
      </c>
      <c r="M11" s="31">
        <v>5.91</v>
      </c>
      <c r="N11" s="31">
        <v>5.9</v>
      </c>
      <c r="O11" s="31">
        <v>5.91</v>
      </c>
      <c r="P11" s="31">
        <v>5.9</v>
      </c>
      <c r="Q11" s="31">
        <v>5.91</v>
      </c>
      <c r="R11" s="31">
        <v>2.95</v>
      </c>
      <c r="S11" s="31"/>
      <c r="T11" s="31"/>
      <c r="U11" s="31"/>
      <c r="V11" s="31"/>
      <c r="W11" s="31"/>
    </row>
    <row r="12" spans="2:23" ht="12.75">
      <c r="B12" s="30" t="s">
        <v>39</v>
      </c>
      <c r="C12" s="31">
        <v>3.75</v>
      </c>
      <c r="D12" s="31">
        <v>7.22</v>
      </c>
      <c r="E12" s="31">
        <v>6.68</v>
      </c>
      <c r="F12" s="31">
        <v>6.18</v>
      </c>
      <c r="G12" s="31">
        <v>5.71</v>
      </c>
      <c r="H12" s="31">
        <v>5.28</v>
      </c>
      <c r="I12" s="31">
        <v>4.89</v>
      </c>
      <c r="J12" s="31">
        <v>4.52</v>
      </c>
      <c r="K12" s="31">
        <v>4.46</v>
      </c>
      <c r="L12" s="31">
        <v>4.46</v>
      </c>
      <c r="M12" s="31">
        <v>4.46</v>
      </c>
      <c r="N12" s="31">
        <v>4.46</v>
      </c>
      <c r="O12" s="31">
        <v>4.46</v>
      </c>
      <c r="P12" s="31">
        <v>4.46</v>
      </c>
      <c r="Q12" s="31">
        <v>4.46</v>
      </c>
      <c r="R12" s="31">
        <v>4.46</v>
      </c>
      <c r="S12" s="31">
        <v>4.46</v>
      </c>
      <c r="T12" s="31">
        <v>4.46</v>
      </c>
      <c r="U12" s="31">
        <v>4.46</v>
      </c>
      <c r="V12" s="31">
        <v>4.46</v>
      </c>
      <c r="W12" s="31">
        <v>2.23</v>
      </c>
    </row>
    <row r="13" spans="2:23" ht="12.7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</sheetData>
  <sheetProtection sheet="1" objects="1" scenarios="1"/>
  <mergeCells count="2">
    <mergeCell ref="C5:W5"/>
    <mergeCell ref="B2:W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A1" sqref="A1"/>
    </sheetView>
  </sheetViews>
  <sheetFormatPr defaultColWidth="9.140625" defaultRowHeight="12.75" zeroHeight="1"/>
  <cols>
    <col min="1" max="1" width="4.140625" style="25" customWidth="1"/>
    <col min="2" max="2" width="6.8515625" style="0" customWidth="1"/>
    <col min="3" max="3" width="46.00390625" style="0" customWidth="1"/>
    <col min="5" max="5" width="11.57421875" style="0" bestFit="1" customWidth="1"/>
    <col min="12" max="12" width="4.8515625" style="0" customWidth="1"/>
    <col min="13" max="16384" width="0" style="0" hidden="1" customWidth="1"/>
  </cols>
  <sheetData>
    <row r="1" spans="2:12" ht="12.75">
      <c r="B1" s="32" t="s">
        <v>58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2.75">
      <c r="B3" s="17"/>
      <c r="C3" t="s">
        <v>44</v>
      </c>
      <c r="D3" s="23">
        <v>5</v>
      </c>
      <c r="E3" s="17"/>
      <c r="F3" s="17"/>
      <c r="G3" s="17"/>
      <c r="H3" s="17"/>
      <c r="I3" s="17"/>
      <c r="J3" s="17"/>
      <c r="K3" s="17"/>
      <c r="L3" s="17"/>
    </row>
    <row r="4" spans="2:12" ht="12.75">
      <c r="B4" s="17"/>
      <c r="C4" t="s">
        <v>27</v>
      </c>
      <c r="D4" s="27">
        <f>'TABLE 6.1'!G$22</f>
        <v>35</v>
      </c>
      <c r="E4" s="17"/>
      <c r="F4" s="17"/>
      <c r="G4" s="17"/>
      <c r="H4" s="17"/>
      <c r="I4" s="17"/>
      <c r="J4" s="17"/>
      <c r="K4" s="17"/>
      <c r="L4" s="17"/>
    </row>
    <row r="5" spans="4:11" ht="13.5" thickBot="1">
      <c r="D5" s="22"/>
      <c r="E5" s="11"/>
      <c r="F5" s="11"/>
      <c r="G5" s="11"/>
      <c r="H5" s="10" t="s">
        <v>0</v>
      </c>
      <c r="I5" s="11"/>
      <c r="J5" s="11"/>
      <c r="K5" s="11"/>
    </row>
    <row r="6" spans="4:11" ht="13.5" thickBot="1">
      <c r="D6" s="9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</row>
    <row r="7" spans="3:11" ht="12.75">
      <c r="C7" t="s">
        <v>45</v>
      </c>
      <c r="D7" s="8"/>
      <c r="E7" s="15">
        <f>IF($D$3=3,'TABLE 6.4'!C$7,IF($D$3=5,'TABLE 6.4'!C$8,'TABLE 6.4'!C$9))</f>
        <v>20</v>
      </c>
      <c r="F7" s="15">
        <f>IF($D$3=3,'TABLE 6.4'!D$7,IF($D$3=5,'TABLE 6.4'!D$8,'TABLE 6.4'!D$9))</f>
        <v>32</v>
      </c>
      <c r="G7" s="15">
        <f>IF($D$3=3,'TABLE 6.4'!E$7,IF($D$3=5,'TABLE 6.4'!E$8,'TABLE 6.4'!E$9))</f>
        <v>19.2</v>
      </c>
      <c r="H7" s="15">
        <f>IF($D$3=3,'TABLE 6.4'!F$7,IF($D$3=5,'TABLE 6.4'!F$8,'TABLE 6.4'!F$9))</f>
        <v>11.52</v>
      </c>
      <c r="I7" s="15">
        <f>IF($D$3=3,'TABLE 6.4'!G$7,IF($D$3=5,'TABLE 6.4'!G$8,'TABLE 6.4'!G$9))</f>
        <v>11.52</v>
      </c>
      <c r="J7" s="15">
        <f>IF($D$3=3,'TABLE 6.4'!H$7,IF($D$3=5,'TABLE 6.4'!H$8,'TABLE 6.4'!H$9))</f>
        <v>5.76</v>
      </c>
      <c r="K7" s="15">
        <f>IF($D$3=3,'TABLE 6.4'!I$7,IF($D$3=5,'TABLE 6.4'!I$8,'TABLE 6.4'!I$9+'TABLE 6.4'!J9))</f>
        <v>0</v>
      </c>
    </row>
    <row r="8" spans="3:11" ht="12.75">
      <c r="C8" t="s">
        <v>43</v>
      </c>
      <c r="D8" s="16"/>
      <c r="E8" s="16">
        <f>-0.01*$D$23*IF($D$3=3,'TABLE 6.4'!C$7,IF($D$3=5,'TABLE 6.4'!C$8,'TABLE 6.4'!C$9))</f>
        <v>2000</v>
      </c>
      <c r="F8" s="16">
        <f>-0.01*$D$23*IF($D$3=3,'TABLE 6.4'!D$7,IF($D$3=5,'TABLE 6.4'!D$8,'TABLE 6.4'!D$9))</f>
        <v>3200</v>
      </c>
      <c r="G8" s="16">
        <f>-0.01*$D$23*IF($D$3=3,'TABLE 6.4'!E$7,IF($D$3=5,'TABLE 6.4'!E$8,'TABLE 6.4'!E$9))</f>
        <v>1920</v>
      </c>
      <c r="H8" s="16">
        <f>-0.01*$D$23*IF($D$3=3,'TABLE 6.4'!F$7,IF($D$3=5,'TABLE 6.4'!F$8,'TABLE 6.4'!F$9))</f>
        <v>1152</v>
      </c>
      <c r="I8" s="16">
        <f>-0.01*$D$23*IF($D$3=3,'TABLE 6.4'!G$7,IF($D$3=5,'TABLE 6.4'!G$8,'TABLE 6.4'!G$9))</f>
        <v>1152</v>
      </c>
      <c r="J8" s="16">
        <f>-0.01*$D$23*IF($D$3=3,'TABLE 6.4'!H$7,IF($D$3=5,'TABLE 6.4'!H$8,'TABLE 6.4'!H$9))</f>
        <v>576</v>
      </c>
      <c r="K8" s="16">
        <f>-0.01*$D$23*IF($D$3=3,'TABLE 6.4'!I$7,IF($D$3=5,'TABLE 6.4'!I$8,'TABLE 6.4'!I$9+'TABLE 6.4'!J9))</f>
        <v>0</v>
      </c>
    </row>
    <row r="9" spans="4:11" ht="12.75">
      <c r="D9" s="16"/>
      <c r="E9" s="16"/>
      <c r="F9" s="16"/>
      <c r="G9" s="16"/>
      <c r="H9" s="16"/>
      <c r="I9" s="16"/>
      <c r="J9" s="16"/>
      <c r="K9" s="16"/>
    </row>
    <row r="10" spans="2:11" ht="12.75">
      <c r="B10" s="4">
        <v>1</v>
      </c>
      <c r="C10" t="s">
        <v>1</v>
      </c>
      <c r="D10" s="16">
        <f aca="true" t="shared" si="0" ref="D10:K12">D24</f>
        <v>0</v>
      </c>
      <c r="E10" s="16">
        <f t="shared" si="0"/>
        <v>523</v>
      </c>
      <c r="F10" s="16">
        <f t="shared" si="0"/>
        <v>12887</v>
      </c>
      <c r="G10" s="16">
        <f t="shared" si="0"/>
        <v>32610</v>
      </c>
      <c r="H10" s="16">
        <f t="shared" si="0"/>
        <v>48901</v>
      </c>
      <c r="I10" s="16">
        <f t="shared" si="0"/>
        <v>35834</v>
      </c>
      <c r="J10" s="16">
        <f t="shared" si="0"/>
        <v>19717</v>
      </c>
      <c r="K10" s="16">
        <v>0</v>
      </c>
    </row>
    <row r="11" spans="2:11" ht="12.75">
      <c r="B11" s="4">
        <v>2</v>
      </c>
      <c r="C11" t="s">
        <v>2</v>
      </c>
      <c r="D11" s="16">
        <f t="shared" si="0"/>
        <v>0</v>
      </c>
      <c r="E11" s="16">
        <f t="shared" si="0"/>
        <v>837</v>
      </c>
      <c r="F11" s="16">
        <f t="shared" si="0"/>
        <v>7729</v>
      </c>
      <c r="G11" s="16">
        <f t="shared" si="0"/>
        <v>19552</v>
      </c>
      <c r="H11" s="16">
        <f t="shared" si="0"/>
        <v>29345</v>
      </c>
      <c r="I11" s="16">
        <f t="shared" si="0"/>
        <v>21492</v>
      </c>
      <c r="J11" s="16">
        <f t="shared" si="0"/>
        <v>11830</v>
      </c>
      <c r="K11" s="16">
        <f t="shared" si="0"/>
        <v>0</v>
      </c>
    </row>
    <row r="12" spans="2:11" ht="12.75">
      <c r="B12" s="4">
        <v>3</v>
      </c>
      <c r="C12" t="s">
        <v>3</v>
      </c>
      <c r="D12" s="16">
        <f t="shared" si="0"/>
        <v>4000</v>
      </c>
      <c r="E12" s="16">
        <f t="shared" si="0"/>
        <v>2200</v>
      </c>
      <c r="F12" s="16">
        <f t="shared" si="0"/>
        <v>1210</v>
      </c>
      <c r="G12" s="16">
        <f t="shared" si="0"/>
        <v>1331</v>
      </c>
      <c r="H12" s="16">
        <f t="shared" si="0"/>
        <v>1464</v>
      </c>
      <c r="I12" s="16">
        <f t="shared" si="0"/>
        <v>1611</v>
      </c>
      <c r="J12" s="16">
        <f t="shared" si="0"/>
        <v>1772</v>
      </c>
      <c r="K12" s="16">
        <f t="shared" si="0"/>
        <v>0</v>
      </c>
    </row>
    <row r="13" spans="2:11" ht="12.75">
      <c r="B13" s="4">
        <v>4</v>
      </c>
      <c r="C13" t="s">
        <v>41</v>
      </c>
      <c r="D13" s="16">
        <f aca="true" t="shared" si="1" ref="D13:K13">D8</f>
        <v>0</v>
      </c>
      <c r="E13" s="16">
        <f t="shared" si="1"/>
        <v>2000</v>
      </c>
      <c r="F13" s="16">
        <f t="shared" si="1"/>
        <v>3200</v>
      </c>
      <c r="G13" s="16">
        <f t="shared" si="1"/>
        <v>1920</v>
      </c>
      <c r="H13" s="16">
        <f t="shared" si="1"/>
        <v>1152</v>
      </c>
      <c r="I13" s="16">
        <f t="shared" si="1"/>
        <v>1152</v>
      </c>
      <c r="J13" s="16">
        <f t="shared" si="1"/>
        <v>576</v>
      </c>
      <c r="K13" s="16">
        <f t="shared" si="1"/>
        <v>0</v>
      </c>
    </row>
    <row r="14" spans="2:11" ht="12.75">
      <c r="B14" s="4">
        <v>5</v>
      </c>
      <c r="C14" t="s">
        <v>42</v>
      </c>
      <c r="D14" s="16">
        <f>D10-D11-D12-D13</f>
        <v>-4000</v>
      </c>
      <c r="E14" s="16">
        <f aca="true" t="shared" si="2" ref="E14:K14">E10-E11-E12-E13+E23</f>
        <v>-4514</v>
      </c>
      <c r="F14" s="16">
        <f t="shared" si="2"/>
        <v>748</v>
      </c>
      <c r="G14" s="16">
        <f t="shared" si="2"/>
        <v>9807</v>
      </c>
      <c r="H14" s="16">
        <f t="shared" si="2"/>
        <v>16940</v>
      </c>
      <c r="I14" s="16">
        <f t="shared" si="2"/>
        <v>11579</v>
      </c>
      <c r="J14" s="16">
        <f t="shared" si="2"/>
        <v>5539</v>
      </c>
      <c r="K14" s="16">
        <f t="shared" si="2"/>
        <v>2002</v>
      </c>
    </row>
    <row r="15" spans="2:11" ht="12.75">
      <c r="B15" s="4">
        <v>6</v>
      </c>
      <c r="C15" t="s">
        <v>36</v>
      </c>
      <c r="D15" s="16">
        <f aca="true" t="shared" si="3" ref="D15:K15">0.01*$D$4*D14</f>
        <v>-1400.0000000000002</v>
      </c>
      <c r="E15" s="16">
        <f t="shared" si="3"/>
        <v>-1579.9</v>
      </c>
      <c r="F15" s="16">
        <f t="shared" si="3"/>
        <v>261.8</v>
      </c>
      <c r="G15" s="16">
        <f t="shared" si="3"/>
        <v>3432.4500000000003</v>
      </c>
      <c r="H15" s="16">
        <f t="shared" si="3"/>
        <v>5929.000000000001</v>
      </c>
      <c r="I15" s="16">
        <f t="shared" si="3"/>
        <v>4052.6500000000005</v>
      </c>
      <c r="J15" s="16">
        <f t="shared" si="3"/>
        <v>1938.65</v>
      </c>
      <c r="K15" s="16">
        <f t="shared" si="3"/>
        <v>700.7</v>
      </c>
    </row>
    <row r="16" spans="2:11" ht="12.75">
      <c r="B16" s="4"/>
      <c r="D16" s="16"/>
      <c r="E16" s="16"/>
      <c r="F16" s="16"/>
      <c r="G16" s="16"/>
      <c r="H16" s="16"/>
      <c r="I16" s="16"/>
      <c r="J16" s="16"/>
      <c r="K16" s="16"/>
    </row>
    <row r="17" spans="2:12" ht="12.75">
      <c r="B17" s="32" t="s">
        <v>61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12.75"/>
    <row r="19" spans="4:11" ht="13.5" thickBot="1">
      <c r="D19" s="11"/>
      <c r="E19" s="11"/>
      <c r="F19" s="11"/>
      <c r="G19" s="11"/>
      <c r="H19" s="10" t="s">
        <v>0</v>
      </c>
      <c r="I19" s="11"/>
      <c r="J19" s="11"/>
      <c r="K19" s="11"/>
    </row>
    <row r="20" spans="2:11" ht="13.5" thickBot="1">
      <c r="B20" s="3"/>
      <c r="C20" s="3"/>
      <c r="D20" s="9">
        <v>0</v>
      </c>
      <c r="E20" s="9">
        <v>1</v>
      </c>
      <c r="F20" s="9">
        <v>2</v>
      </c>
      <c r="G20" s="9">
        <v>3</v>
      </c>
      <c r="H20" s="9">
        <v>4</v>
      </c>
      <c r="I20" s="9">
        <v>5</v>
      </c>
      <c r="J20" s="9">
        <v>6</v>
      </c>
      <c r="K20" s="9">
        <v>7</v>
      </c>
    </row>
    <row r="21" spans="2:11" ht="12.75">
      <c r="B21" s="7"/>
      <c r="C21" s="7"/>
      <c r="D21" s="8"/>
      <c r="E21" s="8"/>
      <c r="F21" s="8"/>
      <c r="G21" s="8"/>
      <c r="H21" s="8"/>
      <c r="I21" s="8"/>
      <c r="J21" s="8"/>
      <c r="K21" s="8"/>
    </row>
    <row r="22" spans="2:11" ht="12.75">
      <c r="B22" s="4">
        <v>1</v>
      </c>
      <c r="C22" t="s">
        <v>28</v>
      </c>
      <c r="D22" s="16"/>
      <c r="E22" s="16">
        <f>'TABLE 6.1'!D9-'TABLE 6.1'!E9</f>
        <v>-550</v>
      </c>
      <c r="F22" s="16">
        <f>'TABLE 6.1'!E9-'TABLE 6.1'!F9</f>
        <v>-739</v>
      </c>
      <c r="G22" s="16">
        <f>'TABLE 6.1'!F9-'TABLE 6.1'!G9</f>
        <v>-1972</v>
      </c>
      <c r="H22" s="16">
        <f>'TABLE 6.1'!G9-'TABLE 6.1'!H9</f>
        <v>-1629</v>
      </c>
      <c r="I22" s="16">
        <f>'TABLE 6.1'!H9-'TABLE 6.1'!I9</f>
        <v>1307</v>
      </c>
      <c r="J22" s="16">
        <f>'TABLE 6.1'!I9-'TABLE 6.1'!J9</f>
        <v>1581</v>
      </c>
      <c r="K22" s="16">
        <v>1949</v>
      </c>
    </row>
    <row r="23" spans="2:11" ht="12.75">
      <c r="B23" s="4" t="s">
        <v>9</v>
      </c>
      <c r="C23" t="s">
        <v>40</v>
      </c>
      <c r="D23" s="16">
        <f>-'TABLE 6.1'!D6</f>
        <v>-10000</v>
      </c>
      <c r="E23" s="16">
        <f>-'TABLE 6.1'!E6</f>
        <v>0</v>
      </c>
      <c r="F23" s="16">
        <f>-'TABLE 6.1'!F6</f>
        <v>0</v>
      </c>
      <c r="G23" s="16">
        <f>-'TABLE 6.1'!G6</f>
        <v>0</v>
      </c>
      <c r="H23" s="16">
        <f>-'TABLE 6.1'!H6</f>
        <v>0</v>
      </c>
      <c r="I23" s="16">
        <f>-'TABLE 6.1'!I6</f>
        <v>0</v>
      </c>
      <c r="J23" s="16">
        <f>-'TABLE 6.1'!J6</f>
        <v>0</v>
      </c>
      <c r="K23" s="16">
        <v>2002</v>
      </c>
    </row>
    <row r="24" spans="2:11" ht="12.75">
      <c r="B24" s="4" t="s">
        <v>15</v>
      </c>
      <c r="C24" t="s">
        <v>53</v>
      </c>
      <c r="D24" s="16">
        <f>'TABLE 6.2'!D9</f>
        <v>0</v>
      </c>
      <c r="E24" s="16">
        <f>'TABLE 6.2'!E9</f>
        <v>523</v>
      </c>
      <c r="F24" s="16">
        <f>'TABLE 6.2'!F9</f>
        <v>12887</v>
      </c>
      <c r="G24" s="16">
        <f>'TABLE 6.2'!G9</f>
        <v>32610</v>
      </c>
      <c r="H24" s="16">
        <f>'TABLE 6.2'!H9</f>
        <v>48901</v>
      </c>
      <c r="I24" s="16">
        <f>'TABLE 6.2'!I9</f>
        <v>35834</v>
      </c>
      <c r="J24" s="16">
        <f>'TABLE 6.2'!J9</f>
        <v>19717</v>
      </c>
      <c r="K24" s="16">
        <f>'TABLE 6.2'!K9</f>
        <v>0</v>
      </c>
    </row>
    <row r="25" spans="2:11" ht="12.75">
      <c r="B25" s="4" t="s">
        <v>16</v>
      </c>
      <c r="C25" t="s">
        <v>54</v>
      </c>
      <c r="D25" s="16">
        <f>'TABLE 6.2'!D10</f>
        <v>0</v>
      </c>
      <c r="E25" s="16">
        <f>'TABLE 6.2'!E10</f>
        <v>837</v>
      </c>
      <c r="F25" s="16">
        <f>'TABLE 6.2'!F10</f>
        <v>7729</v>
      </c>
      <c r="G25" s="16">
        <f>'TABLE 6.2'!G10</f>
        <v>19552</v>
      </c>
      <c r="H25" s="16">
        <f>'TABLE 6.2'!H10</f>
        <v>29345</v>
      </c>
      <c r="I25" s="16">
        <f>'TABLE 6.2'!I10</f>
        <v>21492</v>
      </c>
      <c r="J25" s="16">
        <f>'TABLE 6.2'!J10</f>
        <v>11830</v>
      </c>
      <c r="K25" s="16">
        <f>'TABLE 6.2'!K10</f>
        <v>0</v>
      </c>
    </row>
    <row r="26" spans="2:11" ht="12.75">
      <c r="B26" s="4" t="s">
        <v>17</v>
      </c>
      <c r="C26" t="s">
        <v>55</v>
      </c>
      <c r="D26" s="16">
        <f>'TABLE 6.2'!D11</f>
        <v>4000</v>
      </c>
      <c r="E26" s="16">
        <f>'TABLE 6.2'!E11</f>
        <v>2200</v>
      </c>
      <c r="F26" s="16">
        <f>'TABLE 6.2'!F11</f>
        <v>1210</v>
      </c>
      <c r="G26" s="16">
        <f>'TABLE 6.2'!G11</f>
        <v>1331</v>
      </c>
      <c r="H26" s="16">
        <f>'TABLE 6.2'!H11</f>
        <v>1464</v>
      </c>
      <c r="I26" s="16">
        <f>'TABLE 6.2'!I11</f>
        <v>1611</v>
      </c>
      <c r="J26" s="16">
        <f>'TABLE 6.2'!J11</f>
        <v>1772</v>
      </c>
      <c r="K26" s="16">
        <f>'TABLE 6.2'!K11</f>
        <v>0</v>
      </c>
    </row>
    <row r="27" spans="2:11" ht="12.75">
      <c r="B27" s="4" t="s">
        <v>18</v>
      </c>
      <c r="C27" t="s">
        <v>56</v>
      </c>
      <c r="D27" s="16">
        <f aca="true" t="shared" si="4" ref="D27:K27">D15</f>
        <v>-1400.0000000000002</v>
      </c>
      <c r="E27" s="16">
        <f t="shared" si="4"/>
        <v>-1579.9</v>
      </c>
      <c r="F27" s="16">
        <f t="shared" si="4"/>
        <v>261.8</v>
      </c>
      <c r="G27" s="16">
        <f t="shared" si="4"/>
        <v>3432.4500000000003</v>
      </c>
      <c r="H27" s="16">
        <f t="shared" si="4"/>
        <v>5929.000000000001</v>
      </c>
      <c r="I27" s="16">
        <f t="shared" si="4"/>
        <v>4052.6500000000005</v>
      </c>
      <c r="J27" s="16">
        <f t="shared" si="4"/>
        <v>1938.65</v>
      </c>
      <c r="K27" s="16">
        <f t="shared" si="4"/>
        <v>700.7</v>
      </c>
    </row>
    <row r="28" spans="2:11" ht="12.75">
      <c r="B28" s="5">
        <v>7</v>
      </c>
      <c r="C28" t="s">
        <v>52</v>
      </c>
      <c r="D28" s="16">
        <f>+D24-D25-D26-D27</f>
        <v>-2600</v>
      </c>
      <c r="E28" s="16">
        <f aca="true" t="shared" si="5" ref="E28:K28">+E24-E25-E26-E27</f>
        <v>-934.0999999999999</v>
      </c>
      <c r="F28" s="16">
        <f t="shared" si="5"/>
        <v>3686.2</v>
      </c>
      <c r="G28" s="16">
        <f t="shared" si="5"/>
        <v>8294.55</v>
      </c>
      <c r="H28" s="16">
        <f t="shared" si="5"/>
        <v>12163</v>
      </c>
      <c r="I28" s="16">
        <f t="shared" si="5"/>
        <v>8678.349999999999</v>
      </c>
      <c r="J28" s="16">
        <f t="shared" si="5"/>
        <v>4176.35</v>
      </c>
      <c r="K28" s="16">
        <f t="shared" si="5"/>
        <v>-700.7</v>
      </c>
    </row>
    <row r="29" spans="2:11" ht="12.75">
      <c r="B29" s="4" t="s">
        <v>20</v>
      </c>
      <c r="C29" t="s">
        <v>57</v>
      </c>
      <c r="D29" s="16">
        <v>-12600</v>
      </c>
      <c r="E29" s="16">
        <v>-1484</v>
      </c>
      <c r="F29" s="16">
        <v>2947</v>
      </c>
      <c r="G29" s="16">
        <v>6323</v>
      </c>
      <c r="H29" s="16">
        <v>10534</v>
      </c>
      <c r="I29" s="16">
        <v>9985</v>
      </c>
      <c r="J29" s="16">
        <v>5757</v>
      </c>
      <c r="K29" s="16">
        <v>3269</v>
      </c>
    </row>
    <row r="30" spans="2:11" ht="12.75">
      <c r="B30" s="4" t="s">
        <v>21</v>
      </c>
      <c r="C30" t="s">
        <v>37</v>
      </c>
      <c r="D30" s="16">
        <f aca="true" t="shared" si="6" ref="D30:K30">D29/((1+0.01*$D$34)^D20)</f>
        <v>-12600</v>
      </c>
      <c r="E30" s="16">
        <f t="shared" si="6"/>
        <v>-1236.6666666666667</v>
      </c>
      <c r="F30" s="16">
        <f t="shared" si="6"/>
        <v>2046.5277777777778</v>
      </c>
      <c r="G30" s="16">
        <f t="shared" si="6"/>
        <v>3659.1435185185187</v>
      </c>
      <c r="H30" s="16">
        <f t="shared" si="6"/>
        <v>5080.054012345679</v>
      </c>
      <c r="I30" s="16">
        <f t="shared" si="6"/>
        <v>4012.7475565843624</v>
      </c>
      <c r="J30" s="16">
        <f t="shared" si="6"/>
        <v>1928.0076517489713</v>
      </c>
      <c r="K30" s="16">
        <f t="shared" si="6"/>
        <v>912.3179048068131</v>
      </c>
    </row>
    <row r="31" spans="2:11" ht="12.75">
      <c r="B31" s="4"/>
      <c r="E31" s="16"/>
      <c r="F31" s="16"/>
      <c r="G31" s="16"/>
      <c r="H31" s="16"/>
      <c r="I31" s="16"/>
      <c r="J31" s="16"/>
      <c r="K31" s="16"/>
    </row>
    <row r="32" spans="3:11" ht="12.75">
      <c r="C32" t="s">
        <v>30</v>
      </c>
      <c r="D32" s="26">
        <f>SUM(D30:L30)</f>
        <v>3802.131755115456</v>
      </c>
      <c r="E32" s="1"/>
      <c r="F32" s="1"/>
      <c r="G32" s="1"/>
      <c r="H32" s="1"/>
      <c r="I32" s="1"/>
      <c r="J32" s="1"/>
      <c r="K32" s="1"/>
    </row>
    <row r="33" spans="5:11" ht="12.75">
      <c r="E33" s="1"/>
      <c r="F33" s="1"/>
      <c r="G33" s="1"/>
      <c r="H33" s="1"/>
      <c r="I33" s="1"/>
      <c r="J33" s="1"/>
      <c r="K33" s="1"/>
    </row>
    <row r="34" spans="3:11" ht="12.75">
      <c r="C34" t="s">
        <v>31</v>
      </c>
      <c r="D34" s="21">
        <f>'TABLE 6.2'!D19</f>
        <v>20</v>
      </c>
      <c r="E34" s="1">
        <f>IF(D3=3,"",IF(D3=5,"",IF(D3=7,"","No. of years must be 3, 5, or 7")))</f>
      </c>
      <c r="F34" s="1"/>
      <c r="H34" s="1"/>
      <c r="I34" s="1"/>
      <c r="J34" s="1"/>
      <c r="K34" s="1"/>
    </row>
    <row r="35" spans="4:11" ht="13.5" thickBot="1">
      <c r="D35" s="21"/>
      <c r="E35" s="1"/>
      <c r="F35" s="1"/>
      <c r="H35" s="1"/>
      <c r="I35" s="1"/>
      <c r="J35" s="1"/>
      <c r="K35" s="1"/>
    </row>
    <row r="36" spans="2:12" ht="13.5" thickBot="1">
      <c r="B36" s="40" t="s">
        <v>60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ht="12.75">
      <c r="B37" s="7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/>
    <row r="102" ht="12.75"/>
  </sheetData>
  <sheetProtection/>
  <mergeCells count="3">
    <mergeCell ref="B17:L17"/>
    <mergeCell ref="B1:L1"/>
    <mergeCell ref="B36:L36"/>
  </mergeCells>
  <dataValidations count="3">
    <dataValidation type="decimal" operator="greaterThanOrEqual" allowBlank="1" showInputMessage="1" showErrorMessage="1" sqref="D24:K26">
      <formula1>0</formula1>
    </dataValidation>
    <dataValidation type="list" allowBlank="1" showInputMessage="1" showErrorMessage="1" sqref="D3">
      <formula1>"3,5,7"</formula1>
    </dataValidation>
    <dataValidation type="decimal" allowBlank="1" showInputMessage="1" showErrorMessage="1" sqref="D4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B23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Brealey</dc:creator>
  <cp:keywords/>
  <dc:description/>
  <cp:lastModifiedBy>gunveen.kaur</cp:lastModifiedBy>
  <dcterms:created xsi:type="dcterms:W3CDTF">2004-01-21T09:53:32Z</dcterms:created>
  <dcterms:modified xsi:type="dcterms:W3CDTF">2010-05-20T15:32:04Z</dcterms:modified>
  <cp:category/>
  <cp:version/>
  <cp:contentType/>
  <cp:contentStatus/>
</cp:coreProperties>
</file>