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405" tabRatio="601" activeTab="0"/>
  </bookViews>
  <sheets>
    <sheet name="P13-18A" sheetId="1" r:id="rId1"/>
    <sheet name="Given P13-18A" sheetId="2" r:id="rId2"/>
    <sheet name="P13-22A" sheetId="3" r:id="rId3"/>
    <sheet name="Given P13-22A" sheetId="4" r:id="rId4"/>
    <sheet name="P13-23A" sheetId="5" r:id="rId5"/>
    <sheet name="Given P13-23A" sheetId="6" r:id="rId6"/>
    <sheet name="P13-24A" sheetId="7" r:id="rId7"/>
    <sheet name="Given P13-24A" sheetId="8" r:id="rId8"/>
  </sheets>
  <definedNames>
    <definedName name="_xlnm.Print_Titles" localSheetId="1">'Given P13-18A'!$1:$2</definedName>
    <definedName name="_xlnm.Print_Titles" localSheetId="7">'Given P13-24A'!$1:$2</definedName>
    <definedName name="_xlnm.Print_Titles" localSheetId="0">'P13-18A'!$1:$5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G13" authorId="0">
      <text>
        <r>
          <rPr>
            <sz val="9"/>
            <rFont val="Tahoma"/>
            <family val="2"/>
          </rPr>
          <t xml:space="preserve">Enter appropriate data in yellow cells. 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F9" authorId="0">
      <text>
        <r>
          <rPr>
            <sz val="9"/>
            <rFont val="Tahoma"/>
            <family val="2"/>
          </rPr>
          <t xml:space="preserve">Enter appropriate data in yellow cells.  Your answers will be verified.  To avoid rounding issues use Excel's </t>
        </r>
        <r>
          <rPr>
            <b/>
            <sz val="9"/>
            <rFont val="Tahoma"/>
            <family val="2"/>
          </rPr>
          <t>=ROUND</t>
        </r>
        <r>
          <rPr>
            <sz val="9"/>
            <rFont val="Tahoma"/>
            <family val="2"/>
          </rPr>
          <t xml:space="preserve"> function, rounding to 2 decimal places.</t>
        </r>
      </text>
    </comment>
  </commentList>
</comments>
</file>

<file path=xl/comments7.xml><?xml version="1.0" encoding="utf-8"?>
<comments xmlns="http://schemas.openxmlformats.org/spreadsheetml/2006/main">
  <authors>
    <author>x</author>
  </authors>
  <commentList>
    <comment ref="F9" authorId="0">
      <text>
        <r>
          <rPr>
            <sz val="9"/>
            <rFont val="Tahoma"/>
            <family val="2"/>
          </rPr>
          <t>Enter appropriate data in yellow cells.  Your answers will be verified.</t>
        </r>
      </text>
    </comment>
  </commentList>
</comments>
</file>

<file path=xl/sharedStrings.xml><?xml version="1.0" encoding="utf-8"?>
<sst xmlns="http://schemas.openxmlformats.org/spreadsheetml/2006/main" count="310" uniqueCount="150">
  <si>
    <t>Student Name:</t>
  </si>
  <si>
    <t>Class:</t>
  </si>
  <si>
    <t>a.</t>
  </si>
  <si>
    <t>b.</t>
  </si>
  <si>
    <t>Earnings per share</t>
  </si>
  <si>
    <t>c.</t>
  </si>
  <si>
    <t>d.</t>
  </si>
  <si>
    <t>Return on average equity</t>
  </si>
  <si>
    <t>e.</t>
  </si>
  <si>
    <t>Net margin</t>
  </si>
  <si>
    <t>Income Statement</t>
  </si>
  <si>
    <t>Return on investment</t>
  </si>
  <si>
    <t>Return on equity</t>
  </si>
  <si>
    <t>Price-earnings ratio</t>
  </si>
  <si>
    <t>Balance Sheet</t>
  </si>
  <si>
    <t>f.</t>
  </si>
  <si>
    <t>Book value per share of common stock</t>
  </si>
  <si>
    <t>Assets</t>
  </si>
  <si>
    <t>g.</t>
  </si>
  <si>
    <t xml:space="preserve">  Cash</t>
  </si>
  <si>
    <t>h.</t>
  </si>
  <si>
    <t>Working capital</t>
  </si>
  <si>
    <t xml:space="preserve">  Inventories</t>
  </si>
  <si>
    <t>i.</t>
  </si>
  <si>
    <t>Current ratio</t>
  </si>
  <si>
    <t>Intangibles</t>
  </si>
  <si>
    <t>j.</t>
  </si>
  <si>
    <t>k.</t>
  </si>
  <si>
    <t>Accounts receivable turnover</t>
  </si>
  <si>
    <t>Liabilities:</t>
  </si>
  <si>
    <t>l.</t>
  </si>
  <si>
    <t>Inventory turnover</t>
  </si>
  <si>
    <t xml:space="preserve">    Other</t>
  </si>
  <si>
    <t>m.</t>
  </si>
  <si>
    <t>n.</t>
  </si>
  <si>
    <t>Problem 13-23A</t>
  </si>
  <si>
    <t>Balance Sheets</t>
  </si>
  <si>
    <t>As of December 31</t>
  </si>
  <si>
    <t>Quick ratio</t>
  </si>
  <si>
    <t>Receivables turnover</t>
  </si>
  <si>
    <t>Plant assets to long-term debt</t>
  </si>
  <si>
    <t>Turnover of assets</t>
  </si>
  <si>
    <t>o.</t>
  </si>
  <si>
    <t>p.</t>
  </si>
  <si>
    <t>q.</t>
  </si>
  <si>
    <t>r.</t>
  </si>
  <si>
    <t>s.</t>
  </si>
  <si>
    <t>Dividend yield on common stock</t>
  </si>
  <si>
    <t>Statements of Income and Retained Earnings</t>
  </si>
  <si>
    <t>For the Years Ended December 31</t>
  </si>
  <si>
    <t xml:space="preserve">  Sales (net)</t>
  </si>
  <si>
    <t>Problem 13-24A</t>
  </si>
  <si>
    <t>Amount</t>
  </si>
  <si>
    <t>% of Total</t>
  </si>
  <si>
    <t>Net sales</t>
  </si>
  <si>
    <t>Net income after taxes</t>
  </si>
  <si>
    <t>Income before interest and taxes</t>
  </si>
  <si>
    <t>Stockholders' equity, December 31</t>
  </si>
  <si>
    <t>Common stock, par $50, December 31</t>
  </si>
  <si>
    <t>Quick (acid-test) ratio</t>
  </si>
  <si>
    <t>Vertical Analysis of Balance Sheets</t>
  </si>
  <si>
    <t>Vertical Analysis of Statements of Income</t>
  </si>
  <si>
    <t>Interest expense</t>
  </si>
  <si>
    <t>Times interest earned</t>
  </si>
  <si>
    <t>Debt to equity ratio</t>
  </si>
  <si>
    <t>Debt to assets ratio</t>
  </si>
  <si>
    <t>Number of days to sell inventory</t>
  </si>
  <si>
    <t>Number of times interest was earned</t>
  </si>
  <si>
    <t xml:space="preserve">  Other</t>
  </si>
  <si>
    <t>Liabilities and Stockholders' Equity</t>
  </si>
  <si>
    <t>Total liabilities and stockholders' equity</t>
  </si>
  <si>
    <t>Liabilities</t>
  </si>
  <si>
    <t xml:space="preserve">    non-participating; 8,000 shares authorized</t>
  </si>
  <si>
    <t>Revenues</t>
  </si>
  <si>
    <t>Expenses</t>
  </si>
  <si>
    <t>Given Data P13-24A:</t>
  </si>
  <si>
    <t>Given Data P13-23A:</t>
  </si>
  <si>
    <t>Problem 13-18A</t>
  </si>
  <si>
    <t>Given Data P13-18A:</t>
  </si>
  <si>
    <t>REVNIK COMPANY</t>
  </si>
  <si>
    <t xml:space="preserve">  Investments</t>
  </si>
  <si>
    <t xml:space="preserve">  Plant (net)</t>
  </si>
  <si>
    <t xml:space="preserve">  Land</t>
  </si>
  <si>
    <t xml:space="preserve">    and issued)</t>
  </si>
  <si>
    <t xml:space="preserve">    10,000 shares issued)</t>
  </si>
  <si>
    <t>Current assets</t>
  </si>
  <si>
    <t xml:space="preserve">  Marketable securities</t>
  </si>
  <si>
    <t xml:space="preserve">  Accounts receivable (net)</t>
  </si>
  <si>
    <t xml:space="preserve">  Prepaid items</t>
  </si>
  <si>
    <t xml:space="preserve">    Total current assets</t>
  </si>
  <si>
    <t>Total assets</t>
  </si>
  <si>
    <t>Current liabilities</t>
  </si>
  <si>
    <t xml:space="preserve">    Notes payable</t>
  </si>
  <si>
    <t xml:space="preserve">    Accounts payable</t>
  </si>
  <si>
    <t xml:space="preserve">    Salaries payable</t>
  </si>
  <si>
    <t xml:space="preserve">      Total current liabilities</t>
  </si>
  <si>
    <t>Noncurrent liabilities</t>
  </si>
  <si>
    <t xml:space="preserve">    Bonds payable</t>
  </si>
  <si>
    <t xml:space="preserve">      Total noncurrent liabilities</t>
  </si>
  <si>
    <t xml:space="preserve">      Total liabilities</t>
  </si>
  <si>
    <t>Stockholders' equity</t>
  </si>
  <si>
    <t xml:space="preserve">  Preferred stock, $10 par, 4% cumulative,</t>
  </si>
  <si>
    <t xml:space="preserve">  Common stock (No par, 50,000 shares authorized;</t>
  </si>
  <si>
    <t xml:space="preserve">  Retained earnings</t>
  </si>
  <si>
    <t xml:space="preserve">    Total stockholders' equity</t>
  </si>
  <si>
    <t xml:space="preserve">  Other revenues</t>
  </si>
  <si>
    <t xml:space="preserve">    Total revenues</t>
  </si>
  <si>
    <t xml:space="preserve">  Cost of goods sold</t>
  </si>
  <si>
    <t xml:space="preserve">  Selling, general and administrative</t>
  </si>
  <si>
    <t xml:space="preserve">  Interest expense</t>
  </si>
  <si>
    <t xml:space="preserve">  Income tax expense</t>
  </si>
  <si>
    <t xml:space="preserve">    Total expenses</t>
  </si>
  <si>
    <t>Net earnings (net income)</t>
  </si>
  <si>
    <t>Retained earnings, January 1</t>
  </si>
  <si>
    <t xml:space="preserve">  Less: Preferred stock dividends</t>
  </si>
  <si>
    <t xml:space="preserve">           Common stock dividends</t>
  </si>
  <si>
    <t>Retained earnings, December 31</t>
  </si>
  <si>
    <t xml:space="preserve">  Preferred stock</t>
  </si>
  <si>
    <t xml:space="preserve">  Common stock</t>
  </si>
  <si>
    <t xml:space="preserve">    Total Long-term assets</t>
  </si>
  <si>
    <t xml:space="preserve">  Selling, general and administrative expenses</t>
  </si>
  <si>
    <t xml:space="preserve">  Income taxes</t>
  </si>
  <si>
    <t>Net income</t>
  </si>
  <si>
    <t>Given Data P13-22A:</t>
  </si>
  <si>
    <t>Problem 13-22A</t>
  </si>
  <si>
    <t>SOKOV COMPANY</t>
  </si>
  <si>
    <t>Stockholders' equity, December 31, 2012</t>
  </si>
  <si>
    <t>Average shares outstanding, 2014</t>
  </si>
  <si>
    <t>Average shares outstanding, 2013</t>
  </si>
  <si>
    <t>Market price per share, 2014</t>
  </si>
  <si>
    <t>Market price per share, 2013</t>
  </si>
  <si>
    <t>ROBIN COMPANY</t>
  </si>
  <si>
    <t xml:space="preserve">  Net sales</t>
  </si>
  <si>
    <t>Total revenues</t>
  </si>
  <si>
    <t xml:space="preserve">  Selling expenses</t>
  </si>
  <si>
    <t>Total expenses</t>
  </si>
  <si>
    <t>Earnings from continuing operations</t>
  </si>
  <si>
    <t xml:space="preserve">  before extraordinary items</t>
  </si>
  <si>
    <t>Extraordinary gain (net of $3,000 tax)</t>
  </si>
  <si>
    <t xml:space="preserve">  Accounts receivable</t>
  </si>
  <si>
    <t xml:space="preserve">  Prepaid expenses</t>
  </si>
  <si>
    <t>Plant and equipment (net)</t>
  </si>
  <si>
    <t xml:space="preserve">  Bonds payable</t>
  </si>
  <si>
    <t xml:space="preserve">  Total liabilities</t>
  </si>
  <si>
    <t>Stockholders' equity:</t>
  </si>
  <si>
    <t xml:space="preserve">  Current liabilities</t>
  </si>
  <si>
    <t xml:space="preserve">  Accounts payable</t>
  </si>
  <si>
    <t xml:space="preserve">    Total current liabilities</t>
  </si>
  <si>
    <t xml:space="preserve">  General and administrative expenses</t>
  </si>
  <si>
    <t>Average days to collect accounts receivable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</si>
</sst>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0.0000"/>
    <numFmt numFmtId="177" formatCode="0.000"/>
    <numFmt numFmtId="178" formatCode="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&quot;$&quot;#,##0.0_);[Red]\(&quot;$&quot;#,##0.0\)"/>
    <numFmt numFmtId="182" formatCode="0.00000"/>
    <numFmt numFmtId="183" formatCode="&quot;$&quot;#,##0.000_);[Red]\(&quot;$&quot;#,##0.000\)"/>
    <numFmt numFmtId="184" formatCode="&quot;$&quot;#,##0.0000_);[Red]\(&quot;$&quot;#,##0.0000\)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0.0%"/>
    <numFmt numFmtId="195" formatCode="0.000%"/>
    <numFmt numFmtId="196" formatCode="_(* #,##0.0_);_(* \(#,##0.0\);_(* &quot;-&quot;?_);_(@_)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9" fontId="0" fillId="31" borderId="0">
      <alignment horizontal="center"/>
      <protection/>
    </xf>
    <xf numFmtId="169" fontId="0" fillId="32" borderId="0" applyBorder="0">
      <alignment/>
      <protection locked="0"/>
    </xf>
    <xf numFmtId="0" fontId="39" fillId="33" borderId="0" applyNumberFormat="0" applyBorder="0" applyAlignment="0" applyProtection="0"/>
    <xf numFmtId="0" fontId="0" fillId="0" borderId="0">
      <alignment/>
      <protection/>
    </xf>
    <xf numFmtId="0" fontId="0" fillId="34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1" fillId="35" borderId="0" xfId="0" applyFont="1" applyFill="1" applyAlignment="1" applyProtection="1">
      <alignment horizontal="centerContinuous"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>
      <alignment horizontal="centerContinuous"/>
    </xf>
    <xf numFmtId="0" fontId="0" fillId="35" borderId="0" xfId="0" applyFont="1" applyFill="1" applyAlignment="1">
      <alignment/>
    </xf>
    <xf numFmtId="172" fontId="0" fillId="35" borderId="0" xfId="44" applyNumberFormat="1" applyFont="1" applyFill="1" applyAlignment="1">
      <alignment/>
    </xf>
    <xf numFmtId="174" fontId="0" fillId="35" borderId="0" xfId="42" applyNumberFormat="1" applyFont="1" applyFill="1" applyAlignment="1">
      <alignment/>
    </xf>
    <xf numFmtId="0" fontId="0" fillId="35" borderId="0" xfId="0" applyFont="1" applyFill="1" applyAlignment="1">
      <alignment horizontal="centerContinuous"/>
    </xf>
    <xf numFmtId="0" fontId="0" fillId="35" borderId="0" xfId="0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 horizontal="center"/>
    </xf>
    <xf numFmtId="174" fontId="0" fillId="35" borderId="0" xfId="42" applyNumberFormat="1" applyFill="1" applyAlignment="1">
      <alignment/>
    </xf>
    <xf numFmtId="194" fontId="0" fillId="36" borderId="10" xfId="62" applyNumberFormat="1" applyFont="1" applyFill="1" applyBorder="1" applyAlignment="1" applyProtection="1">
      <alignment/>
      <protection locked="0"/>
    </xf>
    <xf numFmtId="194" fontId="0" fillId="36" borderId="0" xfId="62" applyNumberFormat="1" applyFont="1" applyFill="1" applyAlignment="1" applyProtection="1">
      <alignment/>
      <protection locked="0"/>
    </xf>
    <xf numFmtId="170" fontId="0" fillId="36" borderId="10" xfId="44" applyFont="1" applyFill="1" applyBorder="1" applyAlignment="1" applyProtection="1">
      <alignment/>
      <protection locked="0"/>
    </xf>
    <xf numFmtId="168" fontId="0" fillId="36" borderId="10" xfId="42" applyNumberFormat="1" applyFont="1" applyFill="1" applyBorder="1" applyAlignment="1" applyProtection="1">
      <alignment/>
      <protection locked="0"/>
    </xf>
    <xf numFmtId="168" fontId="0" fillId="36" borderId="0" xfId="42" applyNumberFormat="1" applyFont="1" applyFill="1" applyAlignment="1" applyProtection="1">
      <alignment/>
      <protection locked="0"/>
    </xf>
    <xf numFmtId="170" fontId="0" fillId="36" borderId="0" xfId="44" applyFont="1" applyFill="1" applyAlignment="1" applyProtection="1">
      <alignment/>
      <protection locked="0"/>
    </xf>
    <xf numFmtId="171" fontId="0" fillId="36" borderId="0" xfId="42" applyNumberFormat="1" applyFont="1" applyFill="1" applyAlignment="1" applyProtection="1">
      <alignment/>
      <protection locked="0"/>
    </xf>
    <xf numFmtId="10" fontId="0" fillId="36" borderId="10" xfId="62" applyNumberFormat="1" applyFont="1" applyFill="1" applyBorder="1" applyAlignment="1" applyProtection="1">
      <alignment/>
      <protection locked="0"/>
    </xf>
    <xf numFmtId="10" fontId="0" fillId="36" borderId="0" xfId="62" applyNumberFormat="1" applyFont="1" applyFill="1" applyAlignment="1" applyProtection="1">
      <alignment/>
      <protection locked="0"/>
    </xf>
    <xf numFmtId="171" fontId="0" fillId="36" borderId="10" xfId="42" applyNumberFormat="1" applyFont="1" applyFill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 horizontal="center"/>
      <protection/>
    </xf>
    <xf numFmtId="1" fontId="1" fillId="35" borderId="11" xfId="0" applyNumberFormat="1" applyFont="1" applyFill="1" applyBorder="1" applyAlignment="1">
      <alignment horizontal="center"/>
    </xf>
    <xf numFmtId="0" fontId="1" fillId="35" borderId="0" xfId="0" applyFont="1" applyFill="1" applyBorder="1" applyAlignment="1" applyProtection="1">
      <alignment horizontal="centerContinuous"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171" fontId="0" fillId="36" borderId="0" xfId="0" applyNumberFormat="1" applyFont="1" applyFill="1" applyAlignment="1" applyProtection="1">
      <alignment horizontal="centerContinuous"/>
      <protection locked="0"/>
    </xf>
    <xf numFmtId="196" fontId="0" fillId="36" borderId="10" xfId="42" applyNumberFormat="1" applyFont="1" applyFill="1" applyBorder="1" applyAlignment="1" applyProtection="1">
      <alignment/>
      <protection locked="0"/>
    </xf>
    <xf numFmtId="196" fontId="0" fillId="36" borderId="0" xfId="42" applyNumberFormat="1" applyFont="1" applyFill="1" applyAlignment="1" applyProtection="1">
      <alignment/>
      <protection locked="0"/>
    </xf>
    <xf numFmtId="168" fontId="0" fillId="35" borderId="0" xfId="44" applyNumberFormat="1" applyFont="1" applyFill="1" applyAlignment="1">
      <alignment/>
    </xf>
    <xf numFmtId="169" fontId="0" fillId="35" borderId="0" xfId="42" applyNumberFormat="1" applyFont="1" applyFill="1" applyAlignment="1">
      <alignment/>
    </xf>
    <xf numFmtId="171" fontId="0" fillId="36" borderId="10" xfId="0" applyNumberFormat="1" applyFont="1" applyFill="1" applyBorder="1" applyAlignment="1" applyProtection="1">
      <alignment/>
      <protection locked="0"/>
    </xf>
    <xf numFmtId="171" fontId="0" fillId="36" borderId="0" xfId="0" applyNumberFormat="1" applyFont="1" applyFill="1" applyAlignment="1" applyProtection="1">
      <alignment/>
      <protection locked="0"/>
    </xf>
    <xf numFmtId="169" fontId="0" fillId="35" borderId="0" xfId="44" applyNumberFormat="1" applyFont="1" applyFill="1" applyAlignment="1">
      <alignment/>
    </xf>
    <xf numFmtId="169" fontId="0" fillId="35" borderId="11" xfId="42" applyNumberFormat="1" applyFont="1" applyFill="1" applyBorder="1" applyAlignment="1">
      <alignment/>
    </xf>
    <xf numFmtId="169" fontId="0" fillId="35" borderId="0" xfId="42" applyNumberFormat="1" applyFont="1" applyFill="1" applyBorder="1" applyAlignment="1">
      <alignment/>
    </xf>
    <xf numFmtId="169" fontId="0" fillId="35" borderId="12" xfId="44" applyNumberFormat="1" applyFont="1" applyFill="1" applyBorder="1" applyAlignment="1">
      <alignment/>
    </xf>
    <xf numFmtId="169" fontId="0" fillId="35" borderId="0" xfId="0" applyNumberFormat="1" applyFont="1" applyFill="1" applyAlignment="1">
      <alignment/>
    </xf>
    <xf numFmtId="169" fontId="0" fillId="35" borderId="0" xfId="42" applyNumberFormat="1" applyFill="1" applyAlignment="1">
      <alignment/>
    </xf>
    <xf numFmtId="169" fontId="0" fillId="35" borderId="11" xfId="42" applyNumberFormat="1" applyFill="1" applyBorder="1" applyAlignment="1">
      <alignment/>
    </xf>
    <xf numFmtId="169" fontId="0" fillId="35" borderId="0" xfId="44" applyNumberFormat="1" applyFill="1" applyAlignment="1">
      <alignment/>
    </xf>
    <xf numFmtId="168" fontId="0" fillId="35" borderId="12" xfId="44" applyNumberFormat="1" applyFill="1" applyBorder="1" applyAlignment="1">
      <alignment/>
    </xf>
    <xf numFmtId="168" fontId="0" fillId="35" borderId="0" xfId="44" applyNumberFormat="1" applyFill="1" applyAlignment="1">
      <alignment/>
    </xf>
    <xf numFmtId="168" fontId="0" fillId="35" borderId="12" xfId="44" applyNumberFormat="1" applyFont="1" applyFill="1" applyBorder="1" applyAlignment="1">
      <alignment/>
    </xf>
    <xf numFmtId="171" fontId="0" fillId="35" borderId="0" xfId="0" applyNumberFormat="1" applyFill="1" applyAlignment="1">
      <alignment/>
    </xf>
    <xf numFmtId="171" fontId="0" fillId="35" borderId="0" xfId="42" applyNumberFormat="1" applyFont="1" applyFill="1" applyAlignment="1">
      <alignment/>
    </xf>
    <xf numFmtId="169" fontId="0" fillId="36" borderId="10" xfId="42" applyNumberFormat="1" applyFont="1" applyFill="1" applyBorder="1" applyAlignment="1" applyProtection="1">
      <alignment/>
      <protection locked="0"/>
    </xf>
    <xf numFmtId="169" fontId="0" fillId="36" borderId="0" xfId="42" applyNumberFormat="1" applyFont="1" applyFill="1" applyAlignment="1" applyProtection="1">
      <alignment/>
      <protection locked="0"/>
    </xf>
    <xf numFmtId="168" fontId="0" fillId="35" borderId="0" xfId="42" applyNumberFormat="1" applyFill="1" applyAlignment="1">
      <alignment/>
    </xf>
    <xf numFmtId="169" fontId="0" fillId="35" borderId="11" xfId="44" applyNumberFormat="1" applyFill="1" applyBorder="1" applyAlignment="1">
      <alignment/>
    </xf>
    <xf numFmtId="9" fontId="0" fillId="36" borderId="10" xfId="62" applyNumberFormat="1" applyFont="1" applyFill="1" applyBorder="1" applyAlignment="1" applyProtection="1">
      <alignment/>
      <protection locked="0"/>
    </xf>
    <xf numFmtId="9" fontId="0" fillId="36" borderId="0" xfId="62" applyNumberFormat="1" applyFont="1" applyFill="1" applyAlignment="1" applyProtection="1">
      <alignment/>
      <protection locked="0"/>
    </xf>
    <xf numFmtId="171" fontId="0" fillId="36" borderId="10" xfId="62" applyNumberFormat="1" applyFont="1" applyFill="1" applyBorder="1" applyAlignment="1" applyProtection="1">
      <alignment/>
      <protection locked="0"/>
    </xf>
    <xf numFmtId="171" fontId="0" fillId="36" borderId="0" xfId="62" applyNumberFormat="1" applyFont="1" applyFill="1" applyAlignment="1" applyProtection="1">
      <alignment/>
      <protection locked="0"/>
    </xf>
    <xf numFmtId="171" fontId="0" fillId="36" borderId="10" xfId="0" applyNumberFormat="1" applyFill="1" applyBorder="1" applyAlignment="1" applyProtection="1">
      <alignment/>
      <protection locked="0"/>
    </xf>
    <xf numFmtId="171" fontId="0" fillId="36" borderId="0" xfId="0" applyNumberFormat="1" applyFill="1" applyAlignment="1" applyProtection="1">
      <alignment/>
      <protection locked="0"/>
    </xf>
    <xf numFmtId="0" fontId="9" fillId="35" borderId="0" xfId="0" applyFont="1" applyFill="1" applyBorder="1" applyAlignment="1" applyProtection="1">
      <alignment horizontal="center"/>
      <protection/>
    </xf>
    <xf numFmtId="196" fontId="0" fillId="36" borderId="10" xfId="0" applyNumberFormat="1" applyFont="1" applyFill="1" applyBorder="1" applyAlignment="1" applyProtection="1">
      <alignment/>
      <protection locked="0"/>
    </xf>
    <xf numFmtId="196" fontId="0" fillId="36" borderId="0" xfId="0" applyNumberFormat="1" applyFont="1" applyFill="1" applyAlignment="1" applyProtection="1">
      <alignment/>
      <protection locked="0"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centerContinuous"/>
      <protection/>
    </xf>
    <xf numFmtId="1" fontId="1" fillId="35" borderId="11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168" fontId="0" fillId="35" borderId="0" xfId="44" applyNumberFormat="1" applyFont="1" applyFill="1" applyAlignment="1" applyProtection="1">
      <alignment/>
      <protection/>
    </xf>
    <xf numFmtId="169" fontId="0" fillId="35" borderId="0" xfId="42" applyNumberFormat="1" applyFont="1" applyFill="1" applyAlignment="1" applyProtection="1">
      <alignment/>
      <protection/>
    </xf>
    <xf numFmtId="169" fontId="0" fillId="35" borderId="11" xfId="42" applyNumberFormat="1" applyFont="1" applyFill="1" applyBorder="1" applyAlignment="1" applyProtection="1">
      <alignment/>
      <protection/>
    </xf>
    <xf numFmtId="169" fontId="0" fillId="35" borderId="0" xfId="44" applyNumberFormat="1" applyFont="1" applyFill="1" applyAlignment="1" applyProtection="1">
      <alignment/>
      <protection/>
    </xf>
    <xf numFmtId="169" fontId="0" fillId="35" borderId="0" xfId="42" applyNumberFormat="1" applyFill="1" applyAlignment="1" applyProtection="1">
      <alignment/>
      <protection/>
    </xf>
    <xf numFmtId="169" fontId="0" fillId="35" borderId="11" xfId="42" applyNumberFormat="1" applyFill="1" applyBorder="1" applyAlignment="1" applyProtection="1">
      <alignment/>
      <protection/>
    </xf>
    <xf numFmtId="168" fontId="0" fillId="35" borderId="12" xfId="44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74" fontId="0" fillId="35" borderId="0" xfId="42" applyNumberFormat="1" applyFill="1" applyAlignment="1" applyProtection="1">
      <alignment/>
      <protection/>
    </xf>
    <xf numFmtId="174" fontId="0" fillId="35" borderId="0" xfId="42" applyNumberFormat="1" applyFill="1" applyBorder="1" applyAlignment="1" applyProtection="1">
      <alignment/>
      <protection/>
    </xf>
    <xf numFmtId="168" fontId="0" fillId="35" borderId="0" xfId="44" applyNumberFormat="1" applyFill="1" applyAlignment="1" applyProtection="1">
      <alignment/>
      <protection/>
    </xf>
    <xf numFmtId="168" fontId="0" fillId="35" borderId="12" xfId="44" applyNumberFormat="1" applyFill="1" applyBorder="1" applyAlignment="1" applyProtection="1">
      <alignment/>
      <protection/>
    </xf>
    <xf numFmtId="174" fontId="0" fillId="35" borderId="0" xfId="42" applyNumberFormat="1" applyFont="1" applyFill="1" applyAlignment="1" applyProtection="1">
      <alignment/>
      <protection/>
    </xf>
    <xf numFmtId="174" fontId="0" fillId="35" borderId="0" xfId="42" applyNumberFormat="1" applyFont="1" applyFill="1" applyBorder="1" applyAlignment="1" applyProtection="1">
      <alignment/>
      <protection/>
    </xf>
    <xf numFmtId="168" fontId="0" fillId="35" borderId="11" xfId="44" applyNumberFormat="1" applyFont="1" applyFill="1" applyBorder="1" applyAlignment="1" applyProtection="1">
      <alignment/>
      <protection/>
    </xf>
    <xf numFmtId="168" fontId="0" fillId="35" borderId="14" xfId="44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69" fontId="0" fillId="31" borderId="0" xfId="56">
      <alignment horizontal="center"/>
      <protection/>
    </xf>
    <xf numFmtId="10" fontId="0" fillId="36" borderId="15" xfId="62" applyNumberFormat="1" applyFont="1" applyFill="1" applyBorder="1" applyAlignment="1" applyProtection="1">
      <alignment/>
      <protection locked="0"/>
    </xf>
    <xf numFmtId="10" fontId="0" fillId="36" borderId="11" xfId="62" applyNumberFormat="1" applyFont="1" applyFill="1" applyBorder="1" applyAlignment="1" applyProtection="1">
      <alignment/>
      <protection locked="0"/>
    </xf>
    <xf numFmtId="10" fontId="0" fillId="36" borderId="0" xfId="62" applyNumberFormat="1" applyFont="1" applyFill="1" applyBorder="1" applyAlignment="1" applyProtection="1">
      <alignment/>
      <protection locked="0"/>
    </xf>
    <xf numFmtId="10" fontId="0" fillId="36" borderId="12" xfId="62" applyNumberFormat="1" applyFont="1" applyFill="1" applyBorder="1" applyAlignment="1" applyProtection="1">
      <alignment/>
      <protection locked="0"/>
    </xf>
    <xf numFmtId="10" fontId="0" fillId="36" borderId="0" xfId="62" applyNumberFormat="1" applyFill="1" applyAlignment="1" applyProtection="1">
      <alignment/>
      <protection locked="0"/>
    </xf>
    <xf numFmtId="10" fontId="0" fillId="36" borderId="15" xfId="62" applyNumberFormat="1" applyFill="1" applyBorder="1" applyAlignment="1" applyProtection="1">
      <alignment/>
      <protection locked="0"/>
    </xf>
    <xf numFmtId="10" fontId="0" fillId="36" borderId="11" xfId="62" applyNumberFormat="1" applyFill="1" applyBorder="1" applyAlignment="1" applyProtection="1">
      <alignment/>
      <protection locked="0"/>
    </xf>
    <xf numFmtId="10" fontId="0" fillId="36" borderId="16" xfId="62" applyNumberFormat="1" applyFill="1" applyBorder="1" applyAlignment="1" applyProtection="1">
      <alignment/>
      <protection locked="0"/>
    </xf>
    <xf numFmtId="10" fontId="0" fillId="36" borderId="17" xfId="62" applyNumberFormat="1" applyFill="1" applyBorder="1" applyAlignment="1" applyProtection="1">
      <alignment/>
      <protection locked="0"/>
    </xf>
    <xf numFmtId="10" fontId="0" fillId="36" borderId="12" xfId="62" applyNumberFormat="1" applyFill="1" applyBorder="1" applyAlignment="1" applyProtection="1">
      <alignment/>
      <protection locked="0"/>
    </xf>
    <xf numFmtId="10" fontId="0" fillId="36" borderId="17" xfId="62" applyNumberFormat="1" applyFont="1" applyFill="1" applyBorder="1" applyAlignment="1" applyProtection="1">
      <alignment/>
      <protection locked="0"/>
    </xf>
    <xf numFmtId="10" fontId="0" fillId="36" borderId="14" xfId="62" applyNumberFormat="1" applyFont="1" applyFill="1" applyBorder="1" applyAlignment="1" applyProtection="1">
      <alignment/>
      <protection locked="0"/>
    </xf>
    <xf numFmtId="171" fontId="0" fillId="36" borderId="10" xfId="0" applyNumberFormat="1" applyFont="1" applyFill="1" applyBorder="1" applyAlignment="1" applyProtection="1">
      <alignment horizontal="centerContinuous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1" fillId="35" borderId="11" xfId="0" applyFont="1" applyFill="1" applyBorder="1" applyAlignment="1" applyProtection="1">
      <alignment horizontal="center"/>
      <protection/>
    </xf>
    <xf numFmtId="1" fontId="1" fillId="35" borderId="11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" fillId="35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10" width="12.7109375" style="0" customWidth="1"/>
    <col min="11" max="39" width="12.7109375" style="1" customWidth="1"/>
    <col min="40" max="60" width="9.140625" style="1" customWidth="1"/>
  </cols>
  <sheetData>
    <row r="1" spans="2:12" ht="12.75" customHeight="1">
      <c r="B1" s="2" t="s">
        <v>0</v>
      </c>
      <c r="C1" s="111"/>
      <c r="D1" s="111"/>
      <c r="E1" s="92"/>
      <c r="F1" s="3"/>
      <c r="J1" s="92"/>
      <c r="K1" s="92"/>
      <c r="L1" s="3"/>
    </row>
    <row r="2" spans="2:12" ht="12.75" customHeight="1">
      <c r="B2" s="2" t="s">
        <v>1</v>
      </c>
      <c r="C2" s="111"/>
      <c r="D2" s="111"/>
      <c r="E2" s="92"/>
      <c r="F2" s="3"/>
      <c r="J2" s="92"/>
      <c r="K2" s="92"/>
      <c r="L2" s="3"/>
    </row>
    <row r="3" spans="2:12" ht="12.75" customHeight="1">
      <c r="B3" s="3"/>
      <c r="C3" s="110" t="s">
        <v>77</v>
      </c>
      <c r="D3" s="110"/>
      <c r="E3" s="91"/>
      <c r="F3" s="3"/>
      <c r="J3" s="91"/>
      <c r="K3" s="91"/>
      <c r="L3" s="3"/>
    </row>
    <row r="4" spans="2:12" ht="12.75" customHeight="1">
      <c r="B4" s="3"/>
      <c r="C4" s="3"/>
      <c r="D4" s="3"/>
      <c r="E4" s="3"/>
      <c r="F4" s="3"/>
      <c r="G4" s="3"/>
      <c r="H4" s="3"/>
      <c r="I4" s="67"/>
      <c r="J4" s="67"/>
      <c r="K4" s="3"/>
      <c r="L4" s="3"/>
    </row>
    <row r="5" spans="2:12" ht="12.75" customHeight="1">
      <c r="B5" s="3"/>
      <c r="C5" s="3"/>
      <c r="D5" s="3"/>
      <c r="E5" s="3"/>
      <c r="F5" s="3"/>
      <c r="G5" s="3"/>
      <c r="H5" s="3"/>
      <c r="I5" s="68"/>
      <c r="J5" s="68"/>
      <c r="K5" s="3"/>
      <c r="L5" s="3"/>
    </row>
    <row r="6" spans="1:12" ht="12.75" customHeight="1">
      <c r="A6" s="95"/>
      <c r="B6" s="112" t="s">
        <v>79</v>
      </c>
      <c r="C6" s="112"/>
      <c r="D6" s="112"/>
      <c r="E6" s="112"/>
      <c r="F6" s="112"/>
      <c r="G6" s="112"/>
      <c r="H6" s="112"/>
      <c r="I6" s="112"/>
      <c r="J6" s="112"/>
      <c r="K6" s="112"/>
      <c r="L6" s="3"/>
    </row>
    <row r="7" spans="1:12" ht="12.75" customHeight="1">
      <c r="A7" s="95"/>
      <c r="B7" s="112" t="s">
        <v>60</v>
      </c>
      <c r="C7" s="112"/>
      <c r="D7" s="112"/>
      <c r="E7" s="112"/>
      <c r="F7" s="112"/>
      <c r="G7" s="112"/>
      <c r="H7" s="112"/>
      <c r="I7" s="112"/>
      <c r="J7" s="112"/>
      <c r="K7" s="112"/>
      <c r="L7" s="3"/>
    </row>
    <row r="8" spans="1:12" ht="12.75" customHeight="1">
      <c r="A8" s="95"/>
      <c r="B8" s="112" t="s">
        <v>37</v>
      </c>
      <c r="C8" s="112"/>
      <c r="D8" s="112"/>
      <c r="E8" s="112"/>
      <c r="F8" s="112"/>
      <c r="G8" s="112"/>
      <c r="H8" s="112"/>
      <c r="I8" s="112"/>
      <c r="J8" s="112"/>
      <c r="K8" s="112"/>
      <c r="L8" s="3"/>
    </row>
    <row r="9" spans="1:12" ht="12.75" customHeight="1">
      <c r="A9" s="95"/>
      <c r="B9" s="113"/>
      <c r="C9" s="113"/>
      <c r="D9" s="113"/>
      <c r="E9" s="113"/>
      <c r="F9" s="5"/>
      <c r="G9" s="5"/>
      <c r="H9" s="5"/>
      <c r="I9" s="5"/>
      <c r="J9" s="70"/>
      <c r="K9" s="69"/>
      <c r="L9" s="3"/>
    </row>
    <row r="10" spans="1:12" ht="12.75" customHeight="1">
      <c r="A10" s="95"/>
      <c r="B10" s="113"/>
      <c r="C10" s="116"/>
      <c r="D10" s="116"/>
      <c r="E10" s="116"/>
      <c r="F10" s="114">
        <v>2015</v>
      </c>
      <c r="G10" s="114"/>
      <c r="H10" s="65"/>
      <c r="I10" s="115">
        <v>2014</v>
      </c>
      <c r="J10" s="115"/>
      <c r="K10" s="69"/>
      <c r="L10" s="3"/>
    </row>
    <row r="11" spans="1:12" ht="12.75" customHeight="1">
      <c r="A11" s="95"/>
      <c r="B11" s="113"/>
      <c r="C11" s="116"/>
      <c r="D11" s="116"/>
      <c r="E11" s="116"/>
      <c r="F11" s="28" t="s">
        <v>52</v>
      </c>
      <c r="G11" s="66" t="s">
        <v>53</v>
      </c>
      <c r="H11" s="65"/>
      <c r="I11" s="72" t="s">
        <v>52</v>
      </c>
      <c r="J11" s="28" t="s">
        <v>53</v>
      </c>
      <c r="K11" s="69"/>
      <c r="L11" s="3"/>
    </row>
    <row r="12" spans="1:12" ht="12.75" customHeight="1">
      <c r="A12" s="95"/>
      <c r="B12" s="117" t="s">
        <v>17</v>
      </c>
      <c r="C12" s="117"/>
      <c r="D12" s="117"/>
      <c r="E12" s="117"/>
      <c r="F12" s="69"/>
      <c r="G12" s="69"/>
      <c r="H12" s="73"/>
      <c r="I12" s="69"/>
      <c r="J12" s="69"/>
      <c r="K12" s="69"/>
      <c r="L12" s="3"/>
    </row>
    <row r="13" spans="1:12" ht="12.75" customHeight="1">
      <c r="A13" s="95"/>
      <c r="B13" s="113" t="s">
        <v>19</v>
      </c>
      <c r="C13" s="113"/>
      <c r="D13" s="113"/>
      <c r="E13" s="113"/>
      <c r="F13" s="74">
        <v>16000</v>
      </c>
      <c r="G13" s="26"/>
      <c r="H13" s="62">
        <f>IF(G13="","",IF(AND(G13&gt;=0.027,G13&lt;=0.028),"«- Correct!","«- Try again!"))</f>
      </c>
      <c r="I13" s="74">
        <v>12000</v>
      </c>
      <c r="J13" s="26"/>
      <c r="K13" s="62">
        <f>IF(J13="","",IF(AND(J13&gt;=0.023,J13&lt;=0.024),"«- Correct!","«- Try again!"))</f>
      </c>
      <c r="L13" s="3"/>
    </row>
    <row r="14" spans="1:12" ht="12.75" customHeight="1">
      <c r="A14" s="95"/>
      <c r="B14" s="113" t="s">
        <v>86</v>
      </c>
      <c r="C14" s="113"/>
      <c r="D14" s="113"/>
      <c r="E14" s="113"/>
      <c r="F14" s="75">
        <v>20000</v>
      </c>
      <c r="G14" s="96"/>
      <c r="H14" s="62">
        <f>IF(G14="","",IF(AND(G14&gt;=0.034,G14&lt;=0.035),"«- Correct!","«- Try again!"))</f>
      </c>
      <c r="I14" s="75">
        <v>6000</v>
      </c>
      <c r="J14" s="96"/>
      <c r="K14" s="62">
        <f>IF(J14="","",IF(AND(J14&gt;=0.011,J14&lt;=0.012),"«- Correct!","«- Try again!"))</f>
      </c>
      <c r="L14" s="3"/>
    </row>
    <row r="15" spans="1:12" ht="12.75" customHeight="1">
      <c r="A15" s="95"/>
      <c r="B15" s="113" t="s">
        <v>87</v>
      </c>
      <c r="C15" s="113"/>
      <c r="D15" s="113"/>
      <c r="E15" s="113"/>
      <c r="F15" s="75">
        <v>54000</v>
      </c>
      <c r="G15" s="96"/>
      <c r="H15" s="62">
        <f>IF(G15="","",IF(AND(G15&gt;=0.093,G15&lt;=0.094),"«- Correct!","«- Try again!"))</f>
      </c>
      <c r="I15" s="75">
        <v>46000</v>
      </c>
      <c r="J15" s="96"/>
      <c r="K15" s="62">
        <f>IF(J15="","",IF(AND(J15&gt;=0.089,J15&lt;=0.09),"«- Correct!","«- Try again!"))</f>
      </c>
      <c r="L15" s="3"/>
    </row>
    <row r="16" spans="1:12" ht="12.75" customHeight="1">
      <c r="A16" s="95"/>
      <c r="B16" s="113" t="s">
        <v>22</v>
      </c>
      <c r="C16" s="113"/>
      <c r="D16" s="113"/>
      <c r="E16" s="113"/>
      <c r="F16" s="75">
        <v>135000</v>
      </c>
      <c r="G16" s="96"/>
      <c r="H16" s="62">
        <f>IF(G16="","",IF(AND(G16&gt;=0.234,G16&lt;=0.235),"«- Correct!","«- Try again!"))</f>
      </c>
      <c r="I16" s="75">
        <v>143000</v>
      </c>
      <c r="J16" s="96"/>
      <c r="K16" s="62">
        <f>IF(J16="","",IF(AND(J16&gt;=0.277,J16&lt;=0.278),"«- Correct!","«- Try again!"))</f>
      </c>
      <c r="L16" s="3"/>
    </row>
    <row r="17" spans="1:12" ht="12.75" customHeight="1">
      <c r="A17" s="95"/>
      <c r="B17" s="113" t="s">
        <v>88</v>
      </c>
      <c r="C17" s="113"/>
      <c r="D17" s="113"/>
      <c r="E17" s="113"/>
      <c r="F17" s="76">
        <v>25000</v>
      </c>
      <c r="G17" s="97"/>
      <c r="H17" s="62">
        <f>IF(G17="","",IF(AND(G17&gt;=0.043,G17&lt;=0.044),"«- Correct!","«- Try again!"))</f>
      </c>
      <c r="I17" s="76">
        <v>10000</v>
      </c>
      <c r="J17" s="97"/>
      <c r="K17" s="62">
        <f>IF(J17="","",IF(AND(J17&gt;=0.019,J17&lt;=0.02),"«- Correct!","«- Try again!"))</f>
      </c>
      <c r="L17" s="3"/>
    </row>
    <row r="18" spans="1:12" ht="12.75" customHeight="1">
      <c r="A18" s="95"/>
      <c r="B18" s="113" t="s">
        <v>89</v>
      </c>
      <c r="C18" s="113"/>
      <c r="D18" s="113"/>
      <c r="E18" s="113"/>
      <c r="F18" s="76">
        <f>SUM(F13:F17)</f>
        <v>250000</v>
      </c>
      <c r="G18" s="97"/>
      <c r="H18" s="62">
        <f>IF(G18="","",IF(AND(G18&gt;=0.434,G18&lt;=0.435),"«- Correct!","«- Try again!"))</f>
      </c>
      <c r="I18" s="76">
        <f>SUM(I13:I17)</f>
        <v>217000</v>
      </c>
      <c r="J18" s="97"/>
      <c r="K18" s="62">
        <f>IF(J18="","",IF(AND(J18&gt;=0.42,J18&lt;=0.421),"«- Correct!","«- Try again!"))</f>
      </c>
      <c r="L18" s="3"/>
    </row>
    <row r="19" spans="1:12" ht="12.75" customHeight="1">
      <c r="A19" s="95"/>
      <c r="B19" s="113" t="s">
        <v>80</v>
      </c>
      <c r="C19" s="113"/>
      <c r="D19" s="113"/>
      <c r="E19" s="113"/>
      <c r="F19" s="77">
        <v>27000</v>
      </c>
      <c r="G19" s="98"/>
      <c r="H19" s="62">
        <f>IF(G19="","",IF(AND(G19&gt;=0.046,G19&lt;=0.047),"«- Correct!","«- Try again!"))</f>
      </c>
      <c r="I19" s="77">
        <v>20000</v>
      </c>
      <c r="J19" s="98"/>
      <c r="K19" s="62">
        <f>IF(J19="","",IF(AND(J19&gt;=0.038,J19&lt;=0.039),"«- Correct!","«- Try again!"))</f>
      </c>
      <c r="L19" s="3"/>
    </row>
    <row r="20" spans="1:12" ht="12.75" customHeight="1">
      <c r="A20" s="95"/>
      <c r="B20" s="113" t="s">
        <v>81</v>
      </c>
      <c r="C20" s="113"/>
      <c r="D20" s="113"/>
      <c r="E20" s="113"/>
      <c r="F20" s="75">
        <v>270000</v>
      </c>
      <c r="G20" s="96"/>
      <c r="H20" s="62">
        <f>IF(G20="","",IF(AND(G20&gt;=0.468,G20&lt;=0.469),"«- Correct!","«- Try again!"))</f>
      </c>
      <c r="I20" s="78">
        <v>255000</v>
      </c>
      <c r="J20" s="96"/>
      <c r="K20" s="62">
        <f>IF(J20="","",IF(AND(J20&gt;=0.494,J20&lt;=0.495),"«- Correct!","«- Try again!"))</f>
      </c>
      <c r="L20" s="3"/>
    </row>
    <row r="21" spans="1:12" ht="12.75" customHeight="1">
      <c r="A21" s="95"/>
      <c r="B21" s="113" t="s">
        <v>82</v>
      </c>
      <c r="C21" s="113"/>
      <c r="D21" s="113"/>
      <c r="E21" s="113"/>
      <c r="F21" s="76">
        <v>29000</v>
      </c>
      <c r="G21" s="97"/>
      <c r="H21" s="62">
        <f>IF(G21="","",IF(AND(G21&gt;=0.05,G21&lt;=0.051),"«- Correct!","«- Try again!"))</f>
      </c>
      <c r="I21" s="79">
        <v>24000</v>
      </c>
      <c r="J21" s="97"/>
      <c r="K21" s="62">
        <f>IF(J21="","",IF(AND(J21&gt;=0.046,J21&lt;=0.047),"«- Correct!","«- Try again!"))</f>
      </c>
      <c r="L21" s="3"/>
    </row>
    <row r="22" spans="1:12" ht="12.75" customHeight="1">
      <c r="A22" s="95"/>
      <c r="B22" s="113" t="s">
        <v>119</v>
      </c>
      <c r="C22" s="113"/>
      <c r="D22" s="113"/>
      <c r="E22" s="113"/>
      <c r="F22" s="76">
        <f>SUM(F19:F21)</f>
        <v>326000</v>
      </c>
      <c r="G22" s="97"/>
      <c r="H22" s="62">
        <f>IF(G22="","",IF(AND(G22&gt;=0.565,G22&lt;=0.566),"«- Correct!","«- Try again!"))</f>
      </c>
      <c r="I22" s="76">
        <f>SUM(I19:I21)</f>
        <v>299000</v>
      </c>
      <c r="J22" s="97"/>
      <c r="K22" s="62">
        <f>IF(J22="","",IF(AND(J22&gt;=0.579,J22&lt;=0.58),"«- Correct!","«- Try again!"))</f>
      </c>
      <c r="L22" s="3"/>
    </row>
    <row r="23" spans="1:12" ht="12.75" customHeight="1" thickBot="1">
      <c r="A23" s="95"/>
      <c r="B23" s="113" t="s">
        <v>90</v>
      </c>
      <c r="C23" s="113"/>
      <c r="D23" s="113"/>
      <c r="E23" s="113"/>
      <c r="F23" s="80">
        <f>F18+F22</f>
        <v>576000</v>
      </c>
      <c r="G23" s="99"/>
      <c r="H23" s="62">
        <f>IF(G23="","",IF(AND(G23&gt;=1,G23&lt;=1),"«- Correct!","«- Try again!"))</f>
      </c>
      <c r="I23" s="80">
        <f>I18+I22</f>
        <v>516000</v>
      </c>
      <c r="J23" s="99"/>
      <c r="K23" s="62">
        <f>IF(J23="","",IF(AND(J23&gt;=1,J23&lt;=1),"«- Correct!","«- Try again!"))</f>
      </c>
      <c r="L23" s="3"/>
    </row>
    <row r="24" spans="1:12" ht="12.75" customHeight="1" thickTop="1">
      <c r="A24" s="95"/>
      <c r="B24" s="117" t="s">
        <v>71</v>
      </c>
      <c r="C24" s="117"/>
      <c r="D24" s="117"/>
      <c r="E24" s="117"/>
      <c r="F24" s="83"/>
      <c r="G24" s="83"/>
      <c r="H24" s="84"/>
      <c r="I24" s="83"/>
      <c r="J24" s="83"/>
      <c r="K24" s="69"/>
      <c r="L24" s="3"/>
    </row>
    <row r="25" spans="1:12" ht="12.75" customHeight="1">
      <c r="A25" s="95"/>
      <c r="B25" s="113" t="s">
        <v>92</v>
      </c>
      <c r="C25" s="113"/>
      <c r="D25" s="113"/>
      <c r="E25" s="113"/>
      <c r="F25" s="85">
        <v>17000</v>
      </c>
      <c r="G25" s="100"/>
      <c r="H25" s="62">
        <f>IF(G25="","",IF(AND(G25&gt;=0.029,G25&lt;=0.03),"«- Correct!","«- Try again!"))</f>
      </c>
      <c r="I25" s="85">
        <v>6000</v>
      </c>
      <c r="J25" s="100"/>
      <c r="K25" s="62">
        <f>IF(J25="","",IF(AND(J25&gt;=0.011,J25&lt;=0.0123),"«- Correct!","«- Try again!"))</f>
      </c>
      <c r="L25" s="3"/>
    </row>
    <row r="26" spans="1:12" ht="12.75" customHeight="1">
      <c r="A26" s="95"/>
      <c r="B26" s="113" t="s">
        <v>93</v>
      </c>
      <c r="C26" s="113"/>
      <c r="D26" s="113"/>
      <c r="E26" s="113"/>
      <c r="F26" s="78">
        <v>113800</v>
      </c>
      <c r="G26" s="101"/>
      <c r="H26" s="62">
        <f>IF(G26="","",IF(AND(G26&gt;=0.197,G26&lt;=0.198),"«- Correct!","«- Try again!"))</f>
      </c>
      <c r="I26" s="78">
        <v>100000</v>
      </c>
      <c r="J26" s="101"/>
      <c r="K26" s="62">
        <f>IF(J26="","",IF(AND(J26&gt;=0.193,J26&lt;=0.194),"«- Correct!","«- Try again!"))</f>
      </c>
      <c r="L26" s="3"/>
    </row>
    <row r="27" spans="1:12" ht="12.75" customHeight="1">
      <c r="A27" s="95"/>
      <c r="B27" s="113" t="s">
        <v>94</v>
      </c>
      <c r="C27" s="113"/>
      <c r="D27" s="113"/>
      <c r="E27" s="113"/>
      <c r="F27" s="79">
        <v>21000</v>
      </c>
      <c r="G27" s="102"/>
      <c r="H27" s="62">
        <f>IF(G27="","",IF(AND(G27&gt;=0.036,G27&lt;=0.037),"«- Correct!","«- Try again!"))</f>
      </c>
      <c r="I27" s="79">
        <v>15000</v>
      </c>
      <c r="J27" s="102"/>
      <c r="K27" s="62">
        <f>IF(J27="","",IF(AND(J27&gt;=0.029,J27&lt;=0.03),"«- Correct!","«- Try again!"))</f>
      </c>
      <c r="L27" s="3"/>
    </row>
    <row r="28" spans="1:12" ht="12.75" customHeight="1">
      <c r="A28" s="95"/>
      <c r="B28" s="113" t="s">
        <v>95</v>
      </c>
      <c r="C28" s="113"/>
      <c r="D28" s="113"/>
      <c r="E28" s="113"/>
      <c r="F28" s="79">
        <f>SUM(F25:F27)</f>
        <v>151800</v>
      </c>
      <c r="G28" s="102"/>
      <c r="H28" s="62">
        <f>IF(G28="","",IF(AND(G28&gt;=0.263,G28&lt;=0.264),"«- Correct!","«- Try again!"))</f>
      </c>
      <c r="I28" s="79">
        <f>SUM(I25:I27)</f>
        <v>121000</v>
      </c>
      <c r="J28" s="102"/>
      <c r="K28" s="62">
        <f>IF(J28="","",IF(AND(J28&gt;=0.234,J28&lt;=0.235),"«- Correct!","«- Try again!"))</f>
      </c>
      <c r="L28" s="3"/>
    </row>
    <row r="29" spans="1:12" ht="12.75" customHeight="1">
      <c r="A29" s="95"/>
      <c r="B29" s="113" t="s">
        <v>97</v>
      </c>
      <c r="C29" s="113"/>
      <c r="D29" s="113"/>
      <c r="E29" s="113"/>
      <c r="F29" s="85">
        <v>100000</v>
      </c>
      <c r="G29" s="103"/>
      <c r="H29" s="62">
        <f>IF(G29="","",IF(AND(G29&gt;=0.173,G29&lt;=0.174),"«- Correct!","«- Try again!"))</f>
      </c>
      <c r="I29" s="85">
        <v>100000</v>
      </c>
      <c r="J29" s="103"/>
      <c r="K29" s="62">
        <f>IF(J29="","",IF(AND(J29&gt;=0.193,J29&lt;=0.194),"«- Correct!","«- Try again!"))</f>
      </c>
      <c r="L29" s="3"/>
    </row>
    <row r="30" spans="1:12" ht="12.75" customHeight="1">
      <c r="A30" s="95"/>
      <c r="B30" s="113" t="s">
        <v>32</v>
      </c>
      <c r="C30" s="113"/>
      <c r="D30" s="113"/>
      <c r="E30" s="113"/>
      <c r="F30" s="79">
        <v>32000</v>
      </c>
      <c r="G30" s="102"/>
      <c r="H30" s="62">
        <f>IF(G30="","",IF(AND(G30&gt;=0.055,G30&lt;=0.056),"«- Correct!","«- Try again!"))</f>
      </c>
      <c r="I30" s="79">
        <v>27000</v>
      </c>
      <c r="J30" s="102"/>
      <c r="K30" s="62">
        <f>IF(J30="","",IF(AND(J30&gt;=0.052,J30&lt;=0.053),"«- Correct!","«- Try again!"))</f>
      </c>
      <c r="L30" s="3"/>
    </row>
    <row r="31" spans="1:12" ht="12.75" customHeight="1">
      <c r="A31" s="95"/>
      <c r="B31" s="113" t="s">
        <v>98</v>
      </c>
      <c r="C31" s="113"/>
      <c r="D31" s="113"/>
      <c r="E31" s="113"/>
      <c r="F31" s="79">
        <f>SUM(F29:F30)</f>
        <v>132000</v>
      </c>
      <c r="G31" s="102"/>
      <c r="H31" s="62">
        <f>IF(G31="","",IF(AND(G31&gt;=0.229,G31&lt;=0.23),"«- Correct!","«- Try again!"))</f>
      </c>
      <c r="I31" s="79">
        <f>SUM(I29:I30)</f>
        <v>127000</v>
      </c>
      <c r="J31" s="102"/>
      <c r="K31" s="62">
        <f>IF(J31="","",IF(AND(J31&gt;=0.246,J31&lt;=0.247),"«- Correct!","«- Try again!"))</f>
      </c>
      <c r="L31" s="3"/>
    </row>
    <row r="32" spans="1:12" ht="12.75" customHeight="1">
      <c r="A32" s="95"/>
      <c r="B32" s="113" t="s">
        <v>99</v>
      </c>
      <c r="C32" s="113"/>
      <c r="D32" s="113"/>
      <c r="E32" s="113"/>
      <c r="F32" s="79">
        <f>F28+F31</f>
        <v>283800</v>
      </c>
      <c r="G32" s="102"/>
      <c r="H32" s="62">
        <f>IF(G32="","",IF(AND(G32&gt;=0.492,G32&lt;=0.493),"«- Correct!","«- Try again!"))</f>
      </c>
      <c r="I32" s="79">
        <f>I28+I31</f>
        <v>248000</v>
      </c>
      <c r="J32" s="102"/>
      <c r="K32" s="62">
        <f>IF(J32="","",IF(AND(J32&gt;=0.48,J32&lt;=0.481),"«- Correct!","«- Try again!"))</f>
      </c>
      <c r="L32" s="3"/>
    </row>
    <row r="33" spans="1:12" ht="12.75" customHeight="1">
      <c r="A33" s="95"/>
      <c r="B33" s="117" t="s">
        <v>100</v>
      </c>
      <c r="C33" s="117"/>
      <c r="D33" s="117"/>
      <c r="E33" s="117"/>
      <c r="F33" s="83"/>
      <c r="G33" s="83"/>
      <c r="H33" s="84"/>
      <c r="I33" s="83"/>
      <c r="J33" s="83"/>
      <c r="K33" s="69"/>
      <c r="L33" s="3"/>
    </row>
    <row r="34" spans="1:12" ht="12.75" customHeight="1">
      <c r="A34" s="95"/>
      <c r="B34" s="113" t="s">
        <v>117</v>
      </c>
      <c r="C34" s="113"/>
      <c r="D34" s="113"/>
      <c r="E34" s="113"/>
      <c r="F34" s="85">
        <v>80000</v>
      </c>
      <c r="G34" s="104"/>
      <c r="H34" s="62">
        <f>IF(G34="","",IF(AND(G34&gt;=0.138,G34&lt;=0.139),"«- Correct!","«- Try again!"))</f>
      </c>
      <c r="I34" s="85">
        <v>80000</v>
      </c>
      <c r="J34" s="104"/>
      <c r="K34" s="62">
        <f>IF(J34="","",IF(AND(J34&gt;=0.155,J34&lt;=0.156),"«- Correct!","«- Try again!"))</f>
      </c>
      <c r="L34" s="3"/>
    </row>
    <row r="35" spans="1:12" ht="12.75" customHeight="1">
      <c r="A35" s="95"/>
      <c r="B35" s="113" t="s">
        <v>118</v>
      </c>
      <c r="C35" s="113"/>
      <c r="D35" s="113"/>
      <c r="E35" s="113"/>
      <c r="F35" s="78">
        <v>80000</v>
      </c>
      <c r="G35" s="104"/>
      <c r="H35" s="62">
        <f>IF(G35="","",IF(AND(G35&gt;=0.138,G35&lt;=0.139),"«- Correct!","«- Try again!"))</f>
      </c>
      <c r="I35" s="78">
        <v>80000</v>
      </c>
      <c r="J35" s="104"/>
      <c r="K35" s="62">
        <f>IF(J35="","",IF(AND(J35&gt;=0.155,J35&lt;=0.156),"«- Correct!","«- Try again!"))</f>
      </c>
      <c r="L35" s="3"/>
    </row>
    <row r="36" spans="1:12" ht="12.75" customHeight="1">
      <c r="A36" s="95"/>
      <c r="B36" s="113" t="s">
        <v>103</v>
      </c>
      <c r="C36" s="113"/>
      <c r="D36" s="113"/>
      <c r="E36" s="113"/>
      <c r="F36" s="79">
        <v>132200</v>
      </c>
      <c r="G36" s="102"/>
      <c r="H36" s="62">
        <f>IF(G36="","",IF(AND(G36&gt;=0.229,G36&lt;=0.23),"«- Correct!","«- Try again!"))</f>
      </c>
      <c r="I36" s="79">
        <v>108000</v>
      </c>
      <c r="J36" s="102"/>
      <c r="K36" s="62">
        <f>IF(J36="","",IF(AND(J36&gt;=0.209,J36&lt;=0.21),"«- Correct!","«- Try again!"))</f>
      </c>
      <c r="L36" s="3"/>
    </row>
    <row r="37" spans="1:12" ht="12.75" customHeight="1">
      <c r="A37" s="95"/>
      <c r="B37" s="113" t="s">
        <v>104</v>
      </c>
      <c r="C37" s="113"/>
      <c r="D37" s="113"/>
      <c r="E37" s="113"/>
      <c r="F37" s="79">
        <f>SUM(F34:F36)</f>
        <v>292200</v>
      </c>
      <c r="G37" s="102"/>
      <c r="H37" s="62">
        <f>IF(G37="","",IF(AND(G37&gt;=0.507,G37&lt;=0.508),"«- Correct!","«- Try again!"))</f>
      </c>
      <c r="I37" s="79">
        <f>SUM(I34:I36)</f>
        <v>268000</v>
      </c>
      <c r="J37" s="102"/>
      <c r="K37" s="62">
        <f>IF(J37="","",IF(AND(J37&gt;=0.519,J37&lt;=0.52),"«- Correct!","«- Try again!"))</f>
      </c>
      <c r="L37" s="3"/>
    </row>
    <row r="38" spans="1:12" ht="12.75" customHeight="1" thickBot="1">
      <c r="A38" s="95"/>
      <c r="B38" s="113" t="s">
        <v>70</v>
      </c>
      <c r="C38" s="113"/>
      <c r="D38" s="113"/>
      <c r="E38" s="113"/>
      <c r="F38" s="86">
        <f>F32+F37</f>
        <v>576000</v>
      </c>
      <c r="G38" s="105"/>
      <c r="H38" s="62">
        <f>IF(G38="","",IF(AND(G38&gt;=1,G38&lt;=1),"«- Correct!","«- Try again!"))</f>
      </c>
      <c r="I38" s="86">
        <f>I32+I37</f>
        <v>516000</v>
      </c>
      <c r="J38" s="105"/>
      <c r="K38" s="62">
        <f>IF(J38="","",IF(AND(J38&gt;=1,J38&lt;=1),"«- Correct!","«- Try again!"))</f>
      </c>
      <c r="L38" s="3"/>
    </row>
    <row r="39" spans="1:12" ht="12.75" customHeight="1" thickTop="1">
      <c r="A39" s="95"/>
      <c r="B39" s="118"/>
      <c r="C39" s="113"/>
      <c r="D39" s="113"/>
      <c r="E39" s="113"/>
      <c r="F39" s="81"/>
      <c r="G39" s="81"/>
      <c r="H39" s="82"/>
      <c r="I39" s="81"/>
      <c r="J39" s="81"/>
      <c r="K39" s="69"/>
      <c r="L39" s="3"/>
    </row>
    <row r="40" spans="1:12" ht="12.75" customHeight="1">
      <c r="A40" s="95"/>
      <c r="B40" s="118"/>
      <c r="C40" s="113"/>
      <c r="D40" s="113"/>
      <c r="E40" s="113"/>
      <c r="F40" s="81"/>
      <c r="G40" s="81"/>
      <c r="H40" s="81"/>
      <c r="I40" s="81"/>
      <c r="J40" s="81"/>
      <c r="K40" s="69"/>
      <c r="L40" s="3"/>
    </row>
    <row r="41" spans="1:12" ht="12.75" customHeight="1">
      <c r="A41" s="95"/>
      <c r="B41" s="112" t="s">
        <v>79</v>
      </c>
      <c r="C41" s="112"/>
      <c r="D41" s="112"/>
      <c r="E41" s="112"/>
      <c r="F41" s="112"/>
      <c r="G41" s="112"/>
      <c r="H41" s="112"/>
      <c r="I41" s="112"/>
      <c r="J41" s="112"/>
      <c r="K41" s="112"/>
      <c r="L41" s="3"/>
    </row>
    <row r="42" spans="1:12" ht="12.75" customHeight="1">
      <c r="A42" s="95"/>
      <c r="B42" s="112" t="s">
        <v>61</v>
      </c>
      <c r="C42" s="112"/>
      <c r="D42" s="112"/>
      <c r="E42" s="112"/>
      <c r="F42" s="112"/>
      <c r="G42" s="112"/>
      <c r="H42" s="112"/>
      <c r="I42" s="112"/>
      <c r="J42" s="112"/>
      <c r="K42" s="112"/>
      <c r="L42" s="3"/>
    </row>
    <row r="43" spans="1:12" ht="12.75" customHeight="1">
      <c r="A43" s="95"/>
      <c r="B43" s="112" t="s">
        <v>49</v>
      </c>
      <c r="C43" s="112"/>
      <c r="D43" s="112"/>
      <c r="E43" s="112"/>
      <c r="F43" s="112"/>
      <c r="G43" s="112"/>
      <c r="H43" s="112"/>
      <c r="I43" s="112"/>
      <c r="J43" s="112"/>
      <c r="K43" s="112"/>
      <c r="L43" s="3"/>
    </row>
    <row r="44" spans="1:12" ht="12.75" customHeight="1">
      <c r="A44" s="95"/>
      <c r="B44" s="113"/>
      <c r="C44" s="119"/>
      <c r="D44" s="119"/>
      <c r="E44" s="119"/>
      <c r="F44" s="71"/>
      <c r="G44" s="71"/>
      <c r="H44" s="71"/>
      <c r="I44" s="71"/>
      <c r="J44" s="71"/>
      <c r="K44" s="69"/>
      <c r="L44" s="3"/>
    </row>
    <row r="45" spans="1:12" ht="12.75" customHeight="1">
      <c r="A45" s="95"/>
      <c r="B45" s="113"/>
      <c r="C45" s="119"/>
      <c r="D45" s="119"/>
      <c r="E45" s="119"/>
      <c r="F45" s="114">
        <v>2015</v>
      </c>
      <c r="G45" s="114"/>
      <c r="H45" s="30"/>
      <c r="I45" s="115">
        <v>2014</v>
      </c>
      <c r="J45" s="115"/>
      <c r="K45" s="69"/>
      <c r="L45" s="3"/>
    </row>
    <row r="46" spans="1:12" ht="12.75" customHeight="1">
      <c r="A46" s="95"/>
      <c r="B46" s="113"/>
      <c r="C46" s="113"/>
      <c r="D46" s="113"/>
      <c r="E46" s="113"/>
      <c r="F46" s="31" t="s">
        <v>52</v>
      </c>
      <c r="G46" s="28" t="s">
        <v>53</v>
      </c>
      <c r="H46" s="65"/>
      <c r="I46" s="72" t="s">
        <v>52</v>
      </c>
      <c r="J46" s="28" t="s">
        <v>53</v>
      </c>
      <c r="K46" s="69"/>
      <c r="L46" s="3"/>
    </row>
    <row r="47" spans="1:12" ht="12.75" customHeight="1">
      <c r="A47" s="95"/>
      <c r="B47" s="118" t="s">
        <v>73</v>
      </c>
      <c r="C47" s="113"/>
      <c r="D47" s="113"/>
      <c r="E47" s="113"/>
      <c r="F47" s="87"/>
      <c r="G47" s="87"/>
      <c r="H47" s="88"/>
      <c r="I47" s="87"/>
      <c r="J47" s="87"/>
      <c r="K47" s="69"/>
      <c r="L47" s="3"/>
    </row>
    <row r="48" spans="1:12" ht="12.75" customHeight="1">
      <c r="A48" s="95"/>
      <c r="B48" s="113" t="s">
        <v>50</v>
      </c>
      <c r="C48" s="113"/>
      <c r="D48" s="113"/>
      <c r="E48" s="113"/>
      <c r="F48" s="74">
        <v>230000</v>
      </c>
      <c r="G48" s="106"/>
      <c r="H48" s="62">
        <f>IF(G48="","",IF(AND(G48&gt;=1,G48&lt;=1),"«- Correct!","«- Try again!"))</f>
      </c>
      <c r="I48" s="74">
        <v>210000</v>
      </c>
      <c r="J48" s="106"/>
      <c r="K48" s="62">
        <f>IF(J48="","",IF(AND(J48&gt;=1,J48&lt;=1),"«- Correct!","«- Try again!"))</f>
      </c>
      <c r="L48" s="3"/>
    </row>
    <row r="49" spans="1:12" ht="12.75" customHeight="1">
      <c r="A49" s="95"/>
      <c r="B49" s="113" t="s">
        <v>68</v>
      </c>
      <c r="C49" s="113"/>
      <c r="D49" s="113"/>
      <c r="E49" s="113"/>
      <c r="F49" s="76">
        <v>8000</v>
      </c>
      <c r="G49" s="97"/>
      <c r="H49" s="62">
        <f>IF(G49="","",IF(AND(G49&gt;=0.034,G49&lt;=0.035),"«- Correct!","«- Try again!"))</f>
      </c>
      <c r="I49" s="76">
        <v>5000</v>
      </c>
      <c r="J49" s="97"/>
      <c r="K49" s="62">
        <f>IF(J49="","",IF(AND(J49&gt;=0.023,J49&lt;=0.024),"«- Correct!","«- Try again!"))</f>
      </c>
      <c r="L49" s="3"/>
    </row>
    <row r="50" spans="1:12" ht="12.75" customHeight="1">
      <c r="A50" s="95"/>
      <c r="B50" s="118" t="s">
        <v>106</v>
      </c>
      <c r="C50" s="113"/>
      <c r="D50" s="113"/>
      <c r="E50" s="113"/>
      <c r="F50" s="89">
        <f>SUM(F48:F49)</f>
        <v>238000</v>
      </c>
      <c r="G50" s="97"/>
      <c r="H50" s="62">
        <f>IF(G50="","",IF(AND(G50&gt;=1.034,G50&lt;=1.035),"«- Correct!","«- Try again!"))</f>
      </c>
      <c r="I50" s="89">
        <f>SUM(I48:I49)</f>
        <v>215000</v>
      </c>
      <c r="J50" s="97"/>
      <c r="K50" s="62">
        <f>IF(J50="","",IF(AND(J50&gt;=1.023,J50&lt;=1.024),"«- Correct!","«- Try again!"))</f>
      </c>
      <c r="L50" s="3"/>
    </row>
    <row r="51" spans="1:12" ht="12.75" customHeight="1">
      <c r="A51" s="95"/>
      <c r="B51" s="118" t="s">
        <v>74</v>
      </c>
      <c r="C51" s="113"/>
      <c r="D51" s="113"/>
      <c r="E51" s="113"/>
      <c r="F51" s="87"/>
      <c r="G51" s="87"/>
      <c r="H51" s="88"/>
      <c r="I51" s="87"/>
      <c r="J51" s="87"/>
      <c r="K51" s="69"/>
      <c r="L51" s="3"/>
    </row>
    <row r="52" spans="1:12" ht="12.75" customHeight="1">
      <c r="A52" s="95"/>
      <c r="B52" s="118" t="s">
        <v>107</v>
      </c>
      <c r="C52" s="113"/>
      <c r="D52" s="113"/>
      <c r="E52" s="113"/>
      <c r="F52" s="74">
        <v>120000</v>
      </c>
      <c r="G52" s="26"/>
      <c r="H52" s="62">
        <f>IF(G52="","",IF(AND(G52&gt;=0.521,G52&lt;=0.522),"«- Correct!","«- Try again!"))</f>
      </c>
      <c r="I52" s="74">
        <v>103000</v>
      </c>
      <c r="J52" s="26"/>
      <c r="K52" s="62">
        <f>IF(J52="","",IF(AND(J52&gt;=0.49,J52&lt;=0.491),"«- Correct!","«- Try again!"))</f>
      </c>
      <c r="L52" s="3"/>
    </row>
    <row r="53" spans="1:12" ht="12.75" customHeight="1">
      <c r="A53" s="95"/>
      <c r="B53" s="118" t="s">
        <v>120</v>
      </c>
      <c r="C53" s="113"/>
      <c r="D53" s="113"/>
      <c r="E53" s="113"/>
      <c r="F53" s="75">
        <v>55000</v>
      </c>
      <c r="G53" s="96"/>
      <c r="H53" s="62">
        <f>IF(G53="","",IF(AND(G53&gt;=0.239,G53&lt;=0.24),"«- Correct!","«- Try again!"))</f>
      </c>
      <c r="I53" s="75">
        <v>50000</v>
      </c>
      <c r="J53" s="96"/>
      <c r="K53" s="62">
        <f>IF(J53="","",IF(AND(J53&gt;=0.238,J53&lt;=0.239),"«- Correct!","«- Try again!"))</f>
      </c>
      <c r="L53" s="3"/>
    </row>
    <row r="54" spans="1:12" ht="12.75" customHeight="1">
      <c r="A54" s="95"/>
      <c r="B54" s="118" t="s">
        <v>109</v>
      </c>
      <c r="C54" s="113"/>
      <c r="D54" s="113"/>
      <c r="E54" s="113"/>
      <c r="F54" s="75">
        <v>8000</v>
      </c>
      <c r="G54" s="96"/>
      <c r="H54" s="62">
        <f>IF(G54="","",IF(AND(G54&gt;=0.034,G54&lt;=0.035),"«- Correct!","«- Try again!"))</f>
      </c>
      <c r="I54" s="75">
        <v>7200</v>
      </c>
      <c r="J54" s="96"/>
      <c r="K54" s="62">
        <f>IF(J54="","",IF(AND(J54&gt;=0.034,J54&lt;=0.035),"«- Correct!","«- Try again!"))</f>
      </c>
      <c r="L54" s="3"/>
    </row>
    <row r="55" spans="1:12" ht="12.75" customHeight="1">
      <c r="A55" s="95"/>
      <c r="B55" s="118" t="s">
        <v>121</v>
      </c>
      <c r="C55" s="113"/>
      <c r="D55" s="113"/>
      <c r="E55" s="113"/>
      <c r="F55" s="76">
        <v>23000</v>
      </c>
      <c r="G55" s="97"/>
      <c r="H55" s="62">
        <f>IF(G55="","",IF(AND(G55&gt;=0.1,G55&lt;=0.1),"«- Correct!","«- Try again!"))</f>
      </c>
      <c r="I55" s="76">
        <v>22000</v>
      </c>
      <c r="J55" s="97"/>
      <c r="K55" s="62">
        <f>IF(J55="","",IF(AND(J55&gt;=0.104,J55&lt;=0.105),"«- Correct!","«- Try again!"))</f>
      </c>
      <c r="L55" s="3"/>
    </row>
    <row r="56" spans="1:12" ht="12.75" customHeight="1">
      <c r="A56" s="95"/>
      <c r="B56" s="118" t="s">
        <v>111</v>
      </c>
      <c r="C56" s="113"/>
      <c r="D56" s="113"/>
      <c r="E56" s="113"/>
      <c r="F56" s="76">
        <f>SUM(F52:F55)</f>
        <v>206000</v>
      </c>
      <c r="G56" s="97"/>
      <c r="H56" s="62">
        <f>IF(G56="","",IF(AND(G56&gt;=0.895,G56&lt;=0.896),"«- Correct!","«- Try again!"))</f>
      </c>
      <c r="I56" s="76">
        <f>SUM(I52:I55)</f>
        <v>182200</v>
      </c>
      <c r="J56" s="97"/>
      <c r="K56" s="62">
        <f>IF(J56="","",IF(AND(J56&gt;=0.867,J56&lt;=0.868),"«- Correct!","«- Try again!"))</f>
      </c>
      <c r="L56" s="3"/>
    </row>
    <row r="57" spans="1:12" ht="12.75" customHeight="1" thickBot="1">
      <c r="A57" s="95"/>
      <c r="B57" s="118" t="s">
        <v>122</v>
      </c>
      <c r="C57" s="113"/>
      <c r="D57" s="113"/>
      <c r="E57" s="113"/>
      <c r="F57" s="90">
        <f>F50-F56</f>
        <v>32000</v>
      </c>
      <c r="G57" s="107"/>
      <c r="H57" s="62">
        <f>IF(G57="","",IF(AND(G57&gt;=0.139,G57&lt;=0.14),"«- Correct!","«- Try again!"))</f>
      </c>
      <c r="I57" s="90">
        <f>I50-I56</f>
        <v>32800</v>
      </c>
      <c r="J57" s="107"/>
      <c r="K57" s="62">
        <f>IF(J57="","",IF(AND(J57&gt;=0.156,J57&lt;=0.157),"«- Correct!","«- Try again!"))</f>
      </c>
      <c r="L57" s="3"/>
    </row>
    <row r="58" spans="1:12" ht="12.75" customHeight="1" thickTop="1">
      <c r="A58" s="95"/>
      <c r="B58" s="69"/>
      <c r="C58" s="69"/>
      <c r="D58" s="69"/>
      <c r="E58" s="69"/>
      <c r="F58" s="88"/>
      <c r="G58" s="88"/>
      <c r="H58" s="88"/>
      <c r="I58" s="88"/>
      <c r="J58" s="88"/>
      <c r="K58" s="69"/>
      <c r="L58" s="3"/>
    </row>
    <row r="59" spans="2:12" ht="12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2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2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2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0" ht="12.7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2.7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2.7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2.7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2.7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2.7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2.7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2.7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2.7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2.7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2.7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2.7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2.7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2.7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2.7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2.7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2.7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2.7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2.7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2.7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2.7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2.7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2.7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2.7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2.7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2.7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2.7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2.75" customHeight="1">
      <c r="B91" s="1"/>
      <c r="C91" s="1"/>
      <c r="D91" s="1"/>
      <c r="E91" s="1"/>
      <c r="F91" s="1"/>
      <c r="G91" s="1"/>
      <c r="H91" s="1"/>
      <c r="I91" s="1"/>
      <c r="J91" s="1"/>
    </row>
  </sheetData>
  <sheetProtection password="C690" sheet="1" objects="1" scenarios="1" selectLockedCells="1"/>
  <mergeCells count="59">
    <mergeCell ref="B46:E46"/>
    <mergeCell ref="B47:E47"/>
    <mergeCell ref="B54:E54"/>
    <mergeCell ref="B55:E55"/>
    <mergeCell ref="B56:E56"/>
    <mergeCell ref="B57:E57"/>
    <mergeCell ref="B48:E48"/>
    <mergeCell ref="B49:E49"/>
    <mergeCell ref="B50:E50"/>
    <mergeCell ref="B51:E51"/>
    <mergeCell ref="B52:E52"/>
    <mergeCell ref="B53:E53"/>
    <mergeCell ref="B37:E37"/>
    <mergeCell ref="B38:E38"/>
    <mergeCell ref="B39:E39"/>
    <mergeCell ref="B40:E40"/>
    <mergeCell ref="B44:E44"/>
    <mergeCell ref="B45:E45"/>
    <mergeCell ref="B43:K43"/>
    <mergeCell ref="B42:K42"/>
    <mergeCell ref="B41:K41"/>
    <mergeCell ref="F45:G45"/>
    <mergeCell ref="B29:E29"/>
    <mergeCell ref="B32:E32"/>
    <mergeCell ref="B33:E33"/>
    <mergeCell ref="B34:E34"/>
    <mergeCell ref="B35:E35"/>
    <mergeCell ref="B36:E36"/>
    <mergeCell ref="B30:E30"/>
    <mergeCell ref="B31:E31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I45:J45"/>
    <mergeCell ref="B8:K8"/>
    <mergeCell ref="B7:K7"/>
    <mergeCell ref="B9:E9"/>
    <mergeCell ref="B10:E10"/>
    <mergeCell ref="B11:E11"/>
    <mergeCell ref="B12:E12"/>
    <mergeCell ref="B14:E14"/>
    <mergeCell ref="B16:E16"/>
    <mergeCell ref="B13:E13"/>
    <mergeCell ref="C3:D3"/>
    <mergeCell ref="C2:D2"/>
    <mergeCell ref="C1:D1"/>
    <mergeCell ref="B6:K6"/>
    <mergeCell ref="B15:E15"/>
    <mergeCell ref="F10:G10"/>
    <mergeCell ref="I10:J10"/>
  </mergeCells>
  <printOptions horizontalCentered="1"/>
  <pageMargins left="0.25" right="0.25" top="0.35" bottom="0.25" header="0" footer="0"/>
  <pageSetup horizontalDpi="300" verticalDpi="3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7" width="12.7109375" style="0" customWidth="1"/>
    <col min="8" max="8" width="2.7109375" style="0" customWidth="1"/>
  </cols>
  <sheetData>
    <row r="1" spans="1:7" ht="12.75">
      <c r="A1" s="120" t="s">
        <v>78</v>
      </c>
      <c r="B1" s="121"/>
      <c r="C1" s="121"/>
      <c r="D1" s="4"/>
      <c r="E1" s="4"/>
      <c r="G1" s="4"/>
    </row>
    <row r="2" spans="6:7" ht="12.75">
      <c r="F2" s="4"/>
      <c r="G2" s="4"/>
    </row>
    <row r="3" spans="1:8" ht="12.75">
      <c r="A3" s="95"/>
      <c r="B3" s="112" t="s">
        <v>79</v>
      </c>
      <c r="C3" s="112"/>
      <c r="D3" s="112"/>
      <c r="E3" s="112"/>
      <c r="F3" s="112"/>
      <c r="G3" s="112"/>
      <c r="H3" s="15"/>
    </row>
    <row r="4" spans="1:8" ht="12.75">
      <c r="A4" s="95"/>
      <c r="B4" s="112" t="s">
        <v>36</v>
      </c>
      <c r="C4" s="112"/>
      <c r="D4" s="112"/>
      <c r="E4" s="112"/>
      <c r="F4" s="112"/>
      <c r="G4" s="112"/>
      <c r="H4" s="15"/>
    </row>
    <row r="5" spans="1:8" ht="12.75">
      <c r="A5" s="95"/>
      <c r="B5" s="112" t="s">
        <v>37</v>
      </c>
      <c r="C5" s="112"/>
      <c r="D5" s="112"/>
      <c r="E5" s="112"/>
      <c r="F5" s="112"/>
      <c r="G5" s="112"/>
      <c r="H5" s="15"/>
    </row>
    <row r="6" spans="1:8" ht="12.75">
      <c r="A6" s="95"/>
      <c r="B6" s="113"/>
      <c r="C6" s="113"/>
      <c r="D6" s="113"/>
      <c r="E6" s="113"/>
      <c r="F6" s="5"/>
      <c r="G6" s="5"/>
      <c r="H6" s="15"/>
    </row>
    <row r="7" spans="1:8" ht="12.75">
      <c r="A7" s="95"/>
      <c r="B7" s="113"/>
      <c r="C7" s="122"/>
      <c r="D7" s="122"/>
      <c r="E7" s="122"/>
      <c r="F7" s="28">
        <v>2015</v>
      </c>
      <c r="G7" s="29">
        <v>2014</v>
      </c>
      <c r="H7" s="15"/>
    </row>
    <row r="8" spans="1:8" ht="12.75">
      <c r="A8" s="95"/>
      <c r="B8" s="117" t="s">
        <v>17</v>
      </c>
      <c r="C8" s="117"/>
      <c r="D8" s="117"/>
      <c r="E8" s="117"/>
      <c r="F8" s="8"/>
      <c r="G8" s="8"/>
      <c r="H8" s="15"/>
    </row>
    <row r="9" spans="1:8" ht="12.75">
      <c r="A9" s="95"/>
      <c r="B9" s="118" t="s">
        <v>85</v>
      </c>
      <c r="C9" s="113"/>
      <c r="D9" s="113"/>
      <c r="E9" s="113"/>
      <c r="F9" s="8"/>
      <c r="G9" s="8"/>
      <c r="H9" s="15"/>
    </row>
    <row r="10" spans="1:8" ht="12.75">
      <c r="A10" s="95"/>
      <c r="B10" s="113" t="s">
        <v>19</v>
      </c>
      <c r="C10" s="113"/>
      <c r="D10" s="113"/>
      <c r="E10" s="113"/>
      <c r="F10" s="35">
        <v>16000</v>
      </c>
      <c r="G10" s="35">
        <v>12000</v>
      </c>
      <c r="H10" s="15"/>
    </row>
    <row r="11" spans="1:8" ht="12.75">
      <c r="A11" s="95"/>
      <c r="B11" s="118" t="s">
        <v>86</v>
      </c>
      <c r="C11" s="113"/>
      <c r="D11" s="113"/>
      <c r="E11" s="113"/>
      <c r="F11" s="36">
        <v>20000</v>
      </c>
      <c r="G11" s="36">
        <v>6000</v>
      </c>
      <c r="H11" s="15"/>
    </row>
    <row r="12" spans="1:8" ht="12.75">
      <c r="A12" s="95"/>
      <c r="B12" s="118" t="s">
        <v>87</v>
      </c>
      <c r="C12" s="113"/>
      <c r="D12" s="113"/>
      <c r="E12" s="113"/>
      <c r="F12" s="36">
        <v>54000</v>
      </c>
      <c r="G12" s="36">
        <v>46000</v>
      </c>
      <c r="H12" s="15"/>
    </row>
    <row r="13" spans="1:8" ht="12.75">
      <c r="A13" s="95"/>
      <c r="B13" s="113" t="s">
        <v>22</v>
      </c>
      <c r="C13" s="113"/>
      <c r="D13" s="113"/>
      <c r="E13" s="113"/>
      <c r="F13" s="36">
        <v>135000</v>
      </c>
      <c r="G13" s="36">
        <v>143000</v>
      </c>
      <c r="H13" s="15"/>
    </row>
    <row r="14" spans="1:8" ht="12.75">
      <c r="A14" s="95"/>
      <c r="B14" s="118" t="s">
        <v>88</v>
      </c>
      <c r="C14" s="113"/>
      <c r="D14" s="113"/>
      <c r="E14" s="113"/>
      <c r="F14" s="40">
        <v>25000</v>
      </c>
      <c r="G14" s="40">
        <v>10000</v>
      </c>
      <c r="H14" s="15"/>
    </row>
    <row r="15" spans="1:8" ht="13.5" thickBot="1">
      <c r="A15" s="95"/>
      <c r="B15" s="118" t="s">
        <v>89</v>
      </c>
      <c r="C15" s="113"/>
      <c r="D15" s="113"/>
      <c r="E15" s="113"/>
      <c r="F15" s="42">
        <f>SUM(F10:F14)</f>
        <v>250000</v>
      </c>
      <c r="G15" s="42">
        <f>SUM(G10:G14)</f>
        <v>217000</v>
      </c>
      <c r="H15" s="15"/>
    </row>
    <row r="16" spans="1:8" ht="13.5" thickTop="1">
      <c r="A16" s="95"/>
      <c r="B16" s="118" t="s">
        <v>80</v>
      </c>
      <c r="C16" s="113"/>
      <c r="D16" s="113"/>
      <c r="E16" s="113"/>
      <c r="F16" s="39">
        <v>27000</v>
      </c>
      <c r="G16" s="39">
        <v>20000</v>
      </c>
      <c r="H16" s="15"/>
    </row>
    <row r="17" spans="1:8" ht="12.75">
      <c r="A17" s="95"/>
      <c r="B17" s="118" t="s">
        <v>81</v>
      </c>
      <c r="C17" s="113"/>
      <c r="D17" s="113"/>
      <c r="E17" s="113"/>
      <c r="F17" s="36">
        <v>270000</v>
      </c>
      <c r="G17" s="44">
        <v>255000</v>
      </c>
      <c r="H17" s="15"/>
    </row>
    <row r="18" spans="1:8" ht="12.75">
      <c r="A18" s="95"/>
      <c r="B18" s="118" t="s">
        <v>82</v>
      </c>
      <c r="C18" s="113"/>
      <c r="D18" s="113"/>
      <c r="E18" s="113"/>
      <c r="F18" s="40">
        <v>29000</v>
      </c>
      <c r="G18" s="45">
        <v>24000</v>
      </c>
      <c r="H18" s="15"/>
    </row>
    <row r="19" spans="1:8" ht="13.5" thickBot="1">
      <c r="A19" s="95"/>
      <c r="B19" s="118" t="s">
        <v>90</v>
      </c>
      <c r="C19" s="113"/>
      <c r="D19" s="113"/>
      <c r="E19" s="113"/>
      <c r="F19" s="49">
        <f>SUM(F15:F18)</f>
        <v>576000</v>
      </c>
      <c r="G19" s="49">
        <f>SUM(G15:G18)</f>
        <v>516000</v>
      </c>
      <c r="H19" s="15"/>
    </row>
    <row r="20" spans="1:8" ht="13.5" thickTop="1">
      <c r="A20" s="95"/>
      <c r="B20" s="113"/>
      <c r="C20" s="113"/>
      <c r="D20" s="113"/>
      <c r="E20" s="113"/>
      <c r="F20" s="10"/>
      <c r="G20" s="17"/>
      <c r="H20" s="15"/>
    </row>
    <row r="21" spans="1:8" ht="12.75">
      <c r="A21" s="95"/>
      <c r="B21" s="117" t="s">
        <v>69</v>
      </c>
      <c r="C21" s="117"/>
      <c r="D21" s="117"/>
      <c r="E21" s="117"/>
      <c r="F21" s="17"/>
      <c r="G21" s="17"/>
      <c r="H21" s="15"/>
    </row>
    <row r="22" spans="1:8" ht="12.75">
      <c r="A22" s="95"/>
      <c r="B22" s="113" t="s">
        <v>71</v>
      </c>
      <c r="C22" s="113"/>
      <c r="D22" s="113"/>
      <c r="E22" s="113"/>
      <c r="F22" s="17"/>
      <c r="G22" s="17"/>
      <c r="H22" s="15"/>
    </row>
    <row r="23" spans="1:8" ht="12.75">
      <c r="A23" s="95"/>
      <c r="B23" s="118" t="s">
        <v>91</v>
      </c>
      <c r="C23" s="113"/>
      <c r="D23" s="113"/>
      <c r="E23" s="113"/>
      <c r="F23" s="15"/>
      <c r="G23" s="15"/>
      <c r="H23" s="15"/>
    </row>
    <row r="24" spans="1:8" ht="12.75">
      <c r="A24" s="95"/>
      <c r="B24" s="118" t="s">
        <v>92</v>
      </c>
      <c r="C24" s="113"/>
      <c r="D24" s="113"/>
      <c r="E24" s="113"/>
      <c r="F24" s="48">
        <v>17000</v>
      </c>
      <c r="G24" s="48">
        <v>6000</v>
      </c>
      <c r="H24" s="15"/>
    </row>
    <row r="25" spans="1:8" ht="12.75">
      <c r="A25" s="95"/>
      <c r="B25" s="118" t="s">
        <v>93</v>
      </c>
      <c r="C25" s="113"/>
      <c r="D25" s="113"/>
      <c r="E25" s="113"/>
      <c r="F25" s="44">
        <v>113800</v>
      </c>
      <c r="G25" s="44">
        <v>100000</v>
      </c>
      <c r="H25" s="15"/>
    </row>
    <row r="26" spans="1:8" ht="12.75">
      <c r="A26" s="95"/>
      <c r="B26" s="118" t="s">
        <v>94</v>
      </c>
      <c r="C26" s="113"/>
      <c r="D26" s="113"/>
      <c r="E26" s="113"/>
      <c r="F26" s="45">
        <v>21000</v>
      </c>
      <c r="G26" s="45">
        <v>15000</v>
      </c>
      <c r="H26" s="15"/>
    </row>
    <row r="27" spans="1:8" ht="12.75">
      <c r="A27" s="95"/>
      <c r="B27" s="118" t="s">
        <v>95</v>
      </c>
      <c r="C27" s="113"/>
      <c r="D27" s="113"/>
      <c r="E27" s="113"/>
      <c r="F27" s="55">
        <f>SUM(F24:F26)</f>
        <v>151800</v>
      </c>
      <c r="G27" s="55">
        <f>SUM(G24:G26)</f>
        <v>121000</v>
      </c>
      <c r="H27" s="15"/>
    </row>
    <row r="28" spans="1:8" ht="12.75">
      <c r="A28" s="95"/>
      <c r="B28" s="118" t="s">
        <v>96</v>
      </c>
      <c r="C28" s="113"/>
      <c r="D28" s="113"/>
      <c r="E28" s="113"/>
      <c r="F28" s="54"/>
      <c r="G28" s="54"/>
      <c r="H28" s="15"/>
    </row>
    <row r="29" spans="1:8" ht="12.75">
      <c r="A29" s="95"/>
      <c r="B29" s="118" t="s">
        <v>97</v>
      </c>
      <c r="C29" s="113"/>
      <c r="D29" s="113"/>
      <c r="E29" s="113"/>
      <c r="F29" s="46">
        <v>100000</v>
      </c>
      <c r="G29" s="46">
        <v>100000</v>
      </c>
      <c r="H29" s="15"/>
    </row>
    <row r="30" spans="1:8" ht="12.75">
      <c r="A30" s="95"/>
      <c r="B30" s="113" t="s">
        <v>32</v>
      </c>
      <c r="C30" s="113"/>
      <c r="D30" s="113"/>
      <c r="E30" s="113"/>
      <c r="F30" s="45">
        <v>32000</v>
      </c>
      <c r="G30" s="45">
        <v>27000</v>
      </c>
      <c r="H30" s="15"/>
    </row>
    <row r="31" spans="1:8" ht="12.75">
      <c r="A31" s="95"/>
      <c r="B31" s="118" t="s">
        <v>98</v>
      </c>
      <c r="C31" s="113"/>
      <c r="D31" s="113"/>
      <c r="E31" s="113"/>
      <c r="F31" s="55">
        <f>SUM(F29:F30)</f>
        <v>132000</v>
      </c>
      <c r="G31" s="55">
        <f>SUM(G29:G30)</f>
        <v>127000</v>
      </c>
      <c r="H31" s="15"/>
    </row>
    <row r="32" spans="1:8" ht="13.5" thickBot="1">
      <c r="A32" s="95"/>
      <c r="B32" s="118" t="s">
        <v>99</v>
      </c>
      <c r="C32" s="113"/>
      <c r="D32" s="113"/>
      <c r="E32" s="113"/>
      <c r="F32" s="42">
        <f>F27+F31</f>
        <v>283800</v>
      </c>
      <c r="G32" s="42">
        <f>G27+G31</f>
        <v>248000</v>
      </c>
      <c r="H32" s="15"/>
    </row>
    <row r="33" spans="1:8" ht="13.5" thickTop="1">
      <c r="A33" s="95"/>
      <c r="B33" s="113"/>
      <c r="C33" s="113"/>
      <c r="D33" s="113"/>
      <c r="E33" s="113"/>
      <c r="F33" s="17"/>
      <c r="G33" s="17"/>
      <c r="H33" s="15"/>
    </row>
    <row r="34" spans="1:8" ht="12.75">
      <c r="A34" s="95"/>
      <c r="B34" s="118" t="s">
        <v>100</v>
      </c>
      <c r="C34" s="113"/>
      <c r="D34" s="113"/>
      <c r="E34" s="113"/>
      <c r="F34" s="17"/>
      <c r="G34" s="17"/>
      <c r="H34" s="15"/>
    </row>
    <row r="35" spans="1:8" ht="12.75">
      <c r="A35" s="95"/>
      <c r="B35" s="118" t="s">
        <v>101</v>
      </c>
      <c r="C35" s="113"/>
      <c r="D35" s="113"/>
      <c r="E35" s="113"/>
      <c r="F35" s="46"/>
      <c r="G35" s="46"/>
      <c r="H35" s="15"/>
    </row>
    <row r="36" spans="1:8" ht="12.75">
      <c r="A36" s="95"/>
      <c r="B36" s="113" t="s">
        <v>72</v>
      </c>
      <c r="C36" s="113"/>
      <c r="D36" s="113"/>
      <c r="E36" s="113"/>
      <c r="F36" s="44"/>
      <c r="G36" s="44"/>
      <c r="H36" s="15"/>
    </row>
    <row r="37" spans="1:8" ht="12.75">
      <c r="A37" s="95"/>
      <c r="B37" s="118" t="s">
        <v>83</v>
      </c>
      <c r="C37" s="113"/>
      <c r="D37" s="113"/>
      <c r="E37" s="113"/>
      <c r="F37" s="46">
        <v>80000</v>
      </c>
      <c r="G37" s="46">
        <v>80000</v>
      </c>
      <c r="H37" s="15"/>
    </row>
    <row r="38" spans="1:8" ht="12.75">
      <c r="A38" s="95"/>
      <c r="B38" s="118" t="s">
        <v>102</v>
      </c>
      <c r="C38" s="113"/>
      <c r="D38" s="113"/>
      <c r="E38" s="113"/>
      <c r="F38" s="44"/>
      <c r="G38" s="44"/>
      <c r="H38" s="15"/>
    </row>
    <row r="39" spans="1:8" ht="12.75">
      <c r="A39" s="95"/>
      <c r="B39" s="118" t="s">
        <v>84</v>
      </c>
      <c r="C39" s="113"/>
      <c r="D39" s="113"/>
      <c r="E39" s="113"/>
      <c r="F39" s="44">
        <v>80000</v>
      </c>
      <c r="G39" s="44">
        <v>80000</v>
      </c>
      <c r="H39" s="15"/>
    </row>
    <row r="40" spans="1:8" ht="12.75">
      <c r="A40" s="95"/>
      <c r="B40" s="118" t="s">
        <v>103</v>
      </c>
      <c r="C40" s="113"/>
      <c r="D40" s="113"/>
      <c r="E40" s="113"/>
      <c r="F40" s="45">
        <v>132200</v>
      </c>
      <c r="G40" s="45">
        <v>108000</v>
      </c>
      <c r="H40" s="15"/>
    </row>
    <row r="41" spans="1:8" ht="12.75">
      <c r="A41" s="95"/>
      <c r="B41" s="118" t="s">
        <v>104</v>
      </c>
      <c r="C41" s="113"/>
      <c r="D41" s="113"/>
      <c r="E41" s="113"/>
      <c r="F41" s="55">
        <f>SUM(F35:F40)</f>
        <v>292200</v>
      </c>
      <c r="G41" s="55">
        <f>SUM(G35:G40)</f>
        <v>268000</v>
      </c>
      <c r="H41" s="15"/>
    </row>
    <row r="42" spans="1:8" ht="13.5" thickBot="1">
      <c r="A42" s="95"/>
      <c r="B42" s="118" t="s">
        <v>70</v>
      </c>
      <c r="C42" s="113"/>
      <c r="D42" s="113"/>
      <c r="E42" s="113"/>
      <c r="F42" s="47">
        <f>F32+F41</f>
        <v>576000</v>
      </c>
      <c r="G42" s="47">
        <f>G32+G41</f>
        <v>516000</v>
      </c>
      <c r="H42" s="15"/>
    </row>
    <row r="43" spans="1:8" ht="13.5" thickTop="1">
      <c r="A43" s="95"/>
      <c r="B43" s="113"/>
      <c r="C43" s="113"/>
      <c r="D43" s="113"/>
      <c r="E43" s="113"/>
      <c r="F43" s="15"/>
      <c r="G43" s="15"/>
      <c r="H43" s="15"/>
    </row>
    <row r="44" spans="1:8" ht="12.75">
      <c r="A44" s="95"/>
      <c r="B44" s="113"/>
      <c r="C44" s="113"/>
      <c r="D44" s="113"/>
      <c r="E44" s="113"/>
      <c r="F44" s="15"/>
      <c r="G44" s="15"/>
      <c r="H44" s="15"/>
    </row>
    <row r="45" spans="1:8" ht="12.75">
      <c r="A45" s="95"/>
      <c r="B45" s="112" t="s">
        <v>79</v>
      </c>
      <c r="C45" s="112"/>
      <c r="D45" s="112"/>
      <c r="E45" s="112"/>
      <c r="F45" s="112"/>
      <c r="G45" s="112"/>
      <c r="H45" s="15"/>
    </row>
    <row r="46" spans="1:8" ht="12.75">
      <c r="A46" s="95"/>
      <c r="B46" s="112" t="s">
        <v>48</v>
      </c>
      <c r="C46" s="112"/>
      <c r="D46" s="112"/>
      <c r="E46" s="112"/>
      <c r="F46" s="112"/>
      <c r="G46" s="112"/>
      <c r="H46" s="15"/>
    </row>
    <row r="47" spans="1:8" ht="12.75">
      <c r="A47" s="95"/>
      <c r="B47" s="112" t="s">
        <v>49</v>
      </c>
      <c r="C47" s="112"/>
      <c r="D47" s="112"/>
      <c r="E47" s="112"/>
      <c r="F47" s="112"/>
      <c r="G47" s="112"/>
      <c r="H47" s="15"/>
    </row>
    <row r="48" spans="1:8" ht="12.75">
      <c r="A48" s="95"/>
      <c r="B48" s="113"/>
      <c r="C48" s="119"/>
      <c r="D48" s="119"/>
      <c r="E48" s="119"/>
      <c r="F48" s="7"/>
      <c r="G48" s="7"/>
      <c r="H48" s="15"/>
    </row>
    <row r="49" spans="1:8" ht="12.75">
      <c r="A49" s="95"/>
      <c r="B49" s="113"/>
      <c r="C49" s="113"/>
      <c r="D49" s="113"/>
      <c r="E49" s="113"/>
      <c r="F49" s="28">
        <v>2015</v>
      </c>
      <c r="G49" s="29">
        <v>2014</v>
      </c>
      <c r="H49" s="15"/>
    </row>
    <row r="50" spans="1:8" ht="12.75">
      <c r="A50" s="95"/>
      <c r="B50" s="113" t="s">
        <v>73</v>
      </c>
      <c r="C50" s="113"/>
      <c r="D50" s="113"/>
      <c r="E50" s="113"/>
      <c r="F50" s="10"/>
      <c r="G50" s="10"/>
      <c r="H50" s="15"/>
    </row>
    <row r="51" spans="1:8" ht="12.75">
      <c r="A51" s="95"/>
      <c r="B51" s="113" t="s">
        <v>50</v>
      </c>
      <c r="C51" s="113"/>
      <c r="D51" s="113"/>
      <c r="E51" s="113"/>
      <c r="F51" s="35">
        <v>230000</v>
      </c>
      <c r="G51" s="35">
        <v>210000</v>
      </c>
      <c r="H51" s="15"/>
    </row>
    <row r="52" spans="1:8" ht="12.75">
      <c r="A52" s="95"/>
      <c r="B52" s="118" t="s">
        <v>105</v>
      </c>
      <c r="C52" s="113"/>
      <c r="D52" s="113"/>
      <c r="E52" s="113"/>
      <c r="F52" s="40">
        <v>8000</v>
      </c>
      <c r="G52" s="40">
        <v>5000</v>
      </c>
      <c r="H52" s="15"/>
    </row>
    <row r="53" spans="1:8" ht="12.75">
      <c r="A53" s="95"/>
      <c r="B53" s="118" t="s">
        <v>106</v>
      </c>
      <c r="C53" s="113"/>
      <c r="D53" s="113"/>
      <c r="E53" s="113"/>
      <c r="F53" s="55">
        <f>SUM(F51:F52)</f>
        <v>238000</v>
      </c>
      <c r="G53" s="55">
        <f>SUM(G51:G52)</f>
        <v>215000</v>
      </c>
      <c r="H53" s="15"/>
    </row>
    <row r="54" spans="1:8" ht="12.75">
      <c r="A54" s="95"/>
      <c r="B54" s="113" t="s">
        <v>74</v>
      </c>
      <c r="C54" s="113"/>
      <c r="D54" s="113"/>
      <c r="E54" s="113"/>
      <c r="F54" s="10"/>
      <c r="G54" s="10"/>
      <c r="H54" s="15"/>
    </row>
    <row r="55" spans="1:8" ht="12.75">
      <c r="A55" s="95"/>
      <c r="B55" s="118" t="s">
        <v>107</v>
      </c>
      <c r="C55" s="113"/>
      <c r="D55" s="113"/>
      <c r="E55" s="113"/>
      <c r="F55" s="39">
        <v>120000</v>
      </c>
      <c r="G55" s="39">
        <v>103000</v>
      </c>
      <c r="H55" s="15"/>
    </row>
    <row r="56" spans="1:8" ht="12.75">
      <c r="A56" s="95"/>
      <c r="B56" s="118" t="s">
        <v>108</v>
      </c>
      <c r="C56" s="113"/>
      <c r="D56" s="113"/>
      <c r="E56" s="113"/>
      <c r="F56" s="36">
        <v>55000</v>
      </c>
      <c r="G56" s="36">
        <v>50000</v>
      </c>
      <c r="H56" s="15"/>
    </row>
    <row r="57" spans="1:8" ht="12.75">
      <c r="A57" s="95"/>
      <c r="B57" s="118" t="s">
        <v>109</v>
      </c>
      <c r="C57" s="113"/>
      <c r="D57" s="113"/>
      <c r="E57" s="113"/>
      <c r="F57" s="36">
        <v>8000</v>
      </c>
      <c r="G57" s="36">
        <v>7200</v>
      </c>
      <c r="H57" s="15"/>
    </row>
    <row r="58" spans="1:8" ht="12.75">
      <c r="A58" s="95"/>
      <c r="B58" s="118" t="s">
        <v>110</v>
      </c>
      <c r="C58" s="113"/>
      <c r="D58" s="113"/>
      <c r="E58" s="113"/>
      <c r="F58" s="40">
        <v>23000</v>
      </c>
      <c r="G58" s="40">
        <v>22000</v>
      </c>
      <c r="H58" s="15"/>
    </row>
    <row r="59" spans="1:8" ht="12.75">
      <c r="A59" s="95"/>
      <c r="B59" s="118" t="s">
        <v>111</v>
      </c>
      <c r="C59" s="113"/>
      <c r="D59" s="113"/>
      <c r="E59" s="113"/>
      <c r="F59" s="55">
        <f>SUM(F55:F58)</f>
        <v>206000</v>
      </c>
      <c r="G59" s="55">
        <f>SUM(G55:G58)</f>
        <v>182200</v>
      </c>
      <c r="H59" s="15"/>
    </row>
    <row r="60" spans="1:8" ht="12.75">
      <c r="A60" s="95"/>
      <c r="B60" s="118" t="s">
        <v>112</v>
      </c>
      <c r="C60" s="113"/>
      <c r="D60" s="113"/>
      <c r="E60" s="113"/>
      <c r="F60" s="39">
        <f>F53-F59</f>
        <v>32000</v>
      </c>
      <c r="G60" s="39">
        <f>G53-G59</f>
        <v>32800</v>
      </c>
      <c r="H60" s="15"/>
    </row>
    <row r="61" spans="1:8" ht="12.75">
      <c r="A61" s="95"/>
      <c r="B61" s="118" t="s">
        <v>113</v>
      </c>
      <c r="C61" s="113"/>
      <c r="D61" s="113"/>
      <c r="E61" s="113"/>
      <c r="F61" s="39">
        <v>108000</v>
      </c>
      <c r="G61" s="39">
        <v>83000</v>
      </c>
      <c r="H61" s="15"/>
    </row>
    <row r="62" spans="1:8" ht="12.75">
      <c r="A62" s="95"/>
      <c r="B62" s="118" t="s">
        <v>114</v>
      </c>
      <c r="C62" s="113"/>
      <c r="D62" s="113"/>
      <c r="E62" s="113"/>
      <c r="F62" s="36">
        <v>3200</v>
      </c>
      <c r="G62" s="36">
        <v>3200</v>
      </c>
      <c r="H62" s="15"/>
    </row>
    <row r="63" spans="1:8" ht="12.75">
      <c r="A63" s="95"/>
      <c r="B63" s="118" t="s">
        <v>115</v>
      </c>
      <c r="C63" s="113"/>
      <c r="D63" s="113"/>
      <c r="E63" s="113"/>
      <c r="F63" s="40">
        <v>4600</v>
      </c>
      <c r="G63" s="40">
        <v>4600</v>
      </c>
      <c r="H63" s="15"/>
    </row>
    <row r="64" spans="1:8" ht="13.5" thickBot="1">
      <c r="A64" s="95"/>
      <c r="B64" s="118" t="s">
        <v>116</v>
      </c>
      <c r="C64" s="113"/>
      <c r="D64" s="113"/>
      <c r="E64" s="113"/>
      <c r="F64" s="49">
        <f>F60+F61-F62-F63</f>
        <v>132200</v>
      </c>
      <c r="G64" s="49">
        <f>G60+G61-G62-G63</f>
        <v>108000</v>
      </c>
      <c r="H64" s="15"/>
    </row>
    <row r="65" spans="1:8" ht="13.5" thickTop="1">
      <c r="A65" s="95"/>
      <c r="B65" s="15"/>
      <c r="C65" s="15"/>
      <c r="D65" s="15"/>
      <c r="E65" s="15"/>
      <c r="F65" s="15"/>
      <c r="G65" s="15"/>
      <c r="H65" s="15"/>
    </row>
  </sheetData>
  <sheetProtection password="C690" sheet="1" objects="1" scenarios="1" selectLockedCells="1" selectUnlockedCells="1"/>
  <mergeCells count="63">
    <mergeCell ref="B64:E64"/>
    <mergeCell ref="B59:E59"/>
    <mergeCell ref="B60:E60"/>
    <mergeCell ref="B61:E61"/>
    <mergeCell ref="B51:E51"/>
    <mergeCell ref="B52:E52"/>
    <mergeCell ref="B62:E62"/>
    <mergeCell ref="B63:E63"/>
    <mergeCell ref="B54:E54"/>
    <mergeCell ref="B55:E55"/>
    <mergeCell ref="B56:E56"/>
    <mergeCell ref="B57:E57"/>
    <mergeCell ref="B58:E58"/>
    <mergeCell ref="B45:G45"/>
    <mergeCell ref="B46:G46"/>
    <mergeCell ref="B47:G47"/>
    <mergeCell ref="B53:E53"/>
    <mergeCell ref="B42:E42"/>
    <mergeCell ref="B43:E43"/>
    <mergeCell ref="B44:E44"/>
    <mergeCell ref="B48:E48"/>
    <mergeCell ref="B49:E49"/>
    <mergeCell ref="B50:E50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1:E11"/>
    <mergeCell ref="B12:E12"/>
    <mergeCell ref="B13:E13"/>
    <mergeCell ref="A1:C1"/>
    <mergeCell ref="B6:E6"/>
    <mergeCell ref="B7:E7"/>
    <mergeCell ref="B8:E8"/>
    <mergeCell ref="B9:E9"/>
    <mergeCell ref="B10:E10"/>
    <mergeCell ref="B3:G3"/>
    <mergeCell ref="B4:G4"/>
    <mergeCell ref="B5:G5"/>
  </mergeCells>
  <printOptions horizontalCentered="1"/>
  <pageMargins left="0.75" right="0.75" top="1" bottom="1" header="0.5" footer="0.5"/>
  <pageSetup horizontalDpi="300" verticalDpi="300" orientation="portrait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D1" sqref="D1:E1"/>
    </sheetView>
  </sheetViews>
  <sheetFormatPr defaultColWidth="9.140625" defaultRowHeight="12.75" customHeight="1"/>
  <cols>
    <col min="1" max="2" width="2.7109375" style="0" customWidth="1"/>
    <col min="3" max="7" width="12.7109375" style="0" customWidth="1"/>
    <col min="8" max="8" width="2.7109375" style="1" customWidth="1"/>
    <col min="9" max="25" width="12.7109375" style="1" customWidth="1"/>
    <col min="26" max="58" width="9.140625" style="1" customWidth="1"/>
  </cols>
  <sheetData>
    <row r="1" spans="2:6" ht="12.75" customHeight="1">
      <c r="B1" s="1"/>
      <c r="C1" s="2" t="s">
        <v>0</v>
      </c>
      <c r="D1" s="111"/>
      <c r="E1" s="111"/>
      <c r="F1" s="94"/>
    </row>
    <row r="2" spans="2:6" ht="12.75" customHeight="1">
      <c r="B2" s="1"/>
      <c r="C2" s="2" t="s">
        <v>1</v>
      </c>
      <c r="D2" s="111"/>
      <c r="E2" s="111"/>
      <c r="F2" s="94"/>
    </row>
    <row r="3" spans="2:6" ht="12.75" customHeight="1">
      <c r="B3" s="1"/>
      <c r="C3" s="3"/>
      <c r="D3" s="110" t="s">
        <v>124</v>
      </c>
      <c r="E3" s="110"/>
      <c r="F3" s="93"/>
    </row>
    <row r="4" spans="2:6" ht="12.75" customHeight="1">
      <c r="B4" s="1"/>
      <c r="C4" s="1"/>
      <c r="D4" s="1"/>
      <c r="E4" s="1"/>
      <c r="F4" s="1"/>
    </row>
    <row r="5" spans="1:8" ht="12.75" customHeight="1">
      <c r="A5" s="95"/>
      <c r="B5" s="124" t="s">
        <v>125</v>
      </c>
      <c r="C5" s="124"/>
      <c r="D5" s="124"/>
      <c r="E5" s="124"/>
      <c r="F5" s="124"/>
      <c r="G5" s="124"/>
      <c r="H5" s="8"/>
    </row>
    <row r="6" spans="1:8" ht="12.75" customHeight="1">
      <c r="A6" s="95"/>
      <c r="B6" s="5"/>
      <c r="C6" s="118"/>
      <c r="D6" s="118"/>
      <c r="E6" s="118"/>
      <c r="F6" s="5"/>
      <c r="G6" s="5"/>
      <c r="H6" s="8"/>
    </row>
    <row r="7" spans="1:8" ht="12.75" customHeight="1">
      <c r="A7" s="95"/>
      <c r="B7" s="11"/>
      <c r="C7" s="118"/>
      <c r="D7" s="123"/>
      <c r="E7" s="123"/>
      <c r="F7" s="28">
        <v>2014</v>
      </c>
      <c r="G7" s="29">
        <v>2013</v>
      </c>
      <c r="H7" s="8"/>
    </row>
    <row r="8" spans="1:8" ht="12.75" customHeight="1">
      <c r="A8" s="95"/>
      <c r="B8" s="11"/>
      <c r="C8" s="118"/>
      <c r="D8" s="123"/>
      <c r="E8" s="123"/>
      <c r="F8" s="12"/>
      <c r="G8" s="13"/>
      <c r="H8" s="8"/>
    </row>
    <row r="9" spans="1:8" ht="12.75" customHeight="1">
      <c r="A9" s="95"/>
      <c r="B9" s="14" t="s">
        <v>2</v>
      </c>
      <c r="C9" s="118" t="s">
        <v>63</v>
      </c>
      <c r="D9" s="118"/>
      <c r="E9" s="118"/>
      <c r="F9" s="108"/>
      <c r="G9" s="32"/>
      <c r="H9" s="8"/>
    </row>
    <row r="10" spans="1:8" ht="12.75" customHeight="1">
      <c r="A10" s="95"/>
      <c r="B10" s="14"/>
      <c r="C10" s="118"/>
      <c r="D10" s="118"/>
      <c r="E10" s="118"/>
      <c r="F10" s="62">
        <f>IF(F9="","",IF(AND(F9&gt;=13.33,F9&lt;=13.335),"Correct!","Try again!"))</f>
      </c>
      <c r="G10" s="62">
        <f>IF(G9="","",IF(AND(G9&gt;=12.25,G9&lt;=12.25),"Correct!","Try again!"))</f>
      </c>
      <c r="H10" s="8"/>
    </row>
    <row r="11" spans="1:8" ht="12.75" customHeight="1">
      <c r="A11" s="95"/>
      <c r="B11" s="15"/>
      <c r="C11" s="118"/>
      <c r="D11" s="118"/>
      <c r="E11" s="118"/>
      <c r="F11" s="8"/>
      <c r="G11" s="8"/>
      <c r="H11" s="8"/>
    </row>
    <row r="12" spans="1:8" ht="12.75" customHeight="1">
      <c r="A12" s="95"/>
      <c r="B12" s="14" t="s">
        <v>3</v>
      </c>
      <c r="C12" s="118" t="s">
        <v>4</v>
      </c>
      <c r="D12" s="118"/>
      <c r="E12" s="118"/>
      <c r="F12" s="20"/>
      <c r="G12" s="20"/>
      <c r="H12" s="8"/>
    </row>
    <row r="13" spans="1:8" ht="12.75" customHeight="1">
      <c r="A13" s="95"/>
      <c r="B13" s="15"/>
      <c r="C13" s="118"/>
      <c r="D13" s="118"/>
      <c r="E13" s="118"/>
      <c r="F13" s="62">
        <f>IF(F12="","",IF(AND(F12&gt;=8.435,F12&lt;=8.44),"Correct!","Try again!"))</f>
      </c>
      <c r="G13" s="62">
        <f>IF(G12="","",IF(AND(G12&gt;=9,G12&lt;=9),"Correct!","Try again!"))</f>
      </c>
      <c r="H13" s="8"/>
    </row>
    <row r="14" spans="1:8" ht="12.75" customHeight="1">
      <c r="A14" s="95"/>
      <c r="B14" s="15"/>
      <c r="C14" s="118"/>
      <c r="D14" s="118"/>
      <c r="E14" s="118"/>
      <c r="F14" s="8"/>
      <c r="G14" s="8"/>
      <c r="H14" s="8"/>
    </row>
    <row r="15" spans="1:8" ht="12.75" customHeight="1">
      <c r="A15" s="95"/>
      <c r="B15" s="14" t="s">
        <v>5</v>
      </c>
      <c r="C15" s="118" t="s">
        <v>13</v>
      </c>
      <c r="D15" s="118"/>
      <c r="E15" s="118"/>
      <c r="F15" s="27"/>
      <c r="G15" s="24"/>
      <c r="H15" s="8"/>
    </row>
    <row r="16" spans="1:8" ht="12.75" customHeight="1">
      <c r="A16" s="95"/>
      <c r="B16" s="14"/>
      <c r="C16" s="118"/>
      <c r="D16" s="118"/>
      <c r="E16" s="118"/>
      <c r="F16" s="62">
        <f>IF(F15="","",IF(AND(F15&gt;=7.585,F15&lt;=7.59),"Correct!","Try again!"))</f>
      </c>
      <c r="G16" s="62">
        <f>IF(G15="","",IF(AND(G15&gt;=8.665,G15&lt;=8.67),"Correct!","Try again!"))</f>
      </c>
      <c r="H16" s="8"/>
    </row>
    <row r="17" spans="1:8" ht="12.75" customHeight="1">
      <c r="A17" s="95"/>
      <c r="B17" s="14"/>
      <c r="C17" s="118"/>
      <c r="D17" s="118"/>
      <c r="E17" s="118"/>
      <c r="F17" s="8"/>
      <c r="G17" s="8"/>
      <c r="H17" s="8"/>
    </row>
    <row r="18" spans="1:8" ht="12.75" customHeight="1">
      <c r="A18" s="95"/>
      <c r="B18" s="14" t="s">
        <v>6</v>
      </c>
      <c r="C18" s="118" t="s">
        <v>7</v>
      </c>
      <c r="D18" s="118"/>
      <c r="E18" s="118"/>
      <c r="F18" s="25"/>
      <c r="G18" s="26"/>
      <c r="H18" s="8"/>
    </row>
    <row r="19" spans="1:8" ht="12.75" customHeight="1">
      <c r="A19" s="95"/>
      <c r="B19" s="15"/>
      <c r="C19" s="118"/>
      <c r="D19" s="118"/>
      <c r="E19" s="118"/>
      <c r="F19" s="62">
        <f>IF(F18="","",IF(AND(F18&gt;=0.3,F18&lt;=0.3),"Correct!","Try again!"))</f>
      </c>
      <c r="G19" s="62">
        <f>IF(G18="","",IF(AND(G18&gt;=0.32725,G18&lt;=0.3273),"Correct!","Try again!"))</f>
      </c>
      <c r="H19" s="8"/>
    </row>
    <row r="20" spans="1:8" ht="12.75" customHeight="1">
      <c r="A20" s="95"/>
      <c r="B20" s="15"/>
      <c r="C20" s="118"/>
      <c r="D20" s="118"/>
      <c r="E20" s="118"/>
      <c r="F20" s="8"/>
      <c r="G20" s="8"/>
      <c r="H20" s="8"/>
    </row>
    <row r="21" spans="1:8" ht="12.75" customHeight="1">
      <c r="A21" s="95"/>
      <c r="B21" s="14" t="s">
        <v>8</v>
      </c>
      <c r="C21" s="118" t="s">
        <v>9</v>
      </c>
      <c r="D21" s="118"/>
      <c r="E21" s="118"/>
      <c r="F21" s="25"/>
      <c r="G21" s="26"/>
      <c r="H21" s="8"/>
    </row>
    <row r="22" spans="1:8" ht="12.75" customHeight="1">
      <c r="A22" s="95"/>
      <c r="B22" s="15"/>
      <c r="C22" s="15"/>
      <c r="D22" s="15"/>
      <c r="E22" s="15"/>
      <c r="F22" s="62">
        <f>IF(F21="","",IF(AND(F21&gt;=0.16875,F21&lt;=0.1688),"Correct!","Try again!"))</f>
      </c>
      <c r="G22" s="62">
        <f>IF(G21="","",IF(AND(G21&gt;=0.225,G21&lt;=0.225),"Correct!","Try again!"))</f>
      </c>
      <c r="H22" s="8"/>
    </row>
  </sheetData>
  <sheetProtection password="C690" sheet="1" objects="1" scenarios="1" selectLockedCells="1"/>
  <mergeCells count="20">
    <mergeCell ref="D3:E3"/>
    <mergeCell ref="D2:E2"/>
    <mergeCell ref="C20:E20"/>
    <mergeCell ref="C21:E21"/>
    <mergeCell ref="C14:E14"/>
    <mergeCell ref="C15:E15"/>
    <mergeCell ref="C16:E16"/>
    <mergeCell ref="C17:E17"/>
    <mergeCell ref="C18:E18"/>
    <mergeCell ref="C19:E19"/>
    <mergeCell ref="C11:E11"/>
    <mergeCell ref="C12:E12"/>
    <mergeCell ref="C13:E13"/>
    <mergeCell ref="D1:E1"/>
    <mergeCell ref="C6:E6"/>
    <mergeCell ref="C7:E7"/>
    <mergeCell ref="C8:E8"/>
    <mergeCell ref="C9:E9"/>
    <mergeCell ref="C10:E10"/>
    <mergeCell ref="B5:G5"/>
  </mergeCells>
  <printOptions horizontalCentered="1"/>
  <pageMargins left="0.25" right="0.25" top="0.35" bottom="0.25" header="0" footer="0"/>
  <pageSetup horizontalDpi="300" verticalDpi="300" orientation="portrait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24" width="12.7109375" style="0" customWidth="1"/>
  </cols>
  <sheetData>
    <row r="1" spans="1:6" ht="12.75">
      <c r="A1" s="120" t="s">
        <v>123</v>
      </c>
      <c r="B1" s="121"/>
      <c r="C1" s="121"/>
      <c r="D1" s="4"/>
      <c r="F1" s="4"/>
    </row>
    <row r="2" spans="5:6" ht="12.75">
      <c r="E2" s="4"/>
      <c r="F2" s="4"/>
    </row>
    <row r="3" spans="1:7" ht="12.75">
      <c r="A3" s="95"/>
      <c r="B3" s="124" t="s">
        <v>125</v>
      </c>
      <c r="C3" s="124"/>
      <c r="D3" s="124"/>
      <c r="E3" s="124"/>
      <c r="F3" s="124"/>
      <c r="G3" s="15"/>
    </row>
    <row r="4" spans="1:7" ht="12.75">
      <c r="A4" s="95"/>
      <c r="B4" s="118"/>
      <c r="C4" s="118"/>
      <c r="D4" s="118"/>
      <c r="E4" s="5"/>
      <c r="F4" s="6"/>
      <c r="G4" s="15"/>
    </row>
    <row r="5" spans="1:7" ht="12.75">
      <c r="A5" s="95"/>
      <c r="B5" s="118"/>
      <c r="C5" s="122"/>
      <c r="D5" s="122"/>
      <c r="E5" s="28">
        <v>2014</v>
      </c>
      <c r="F5" s="29">
        <v>2013</v>
      </c>
      <c r="G5" s="15"/>
    </row>
    <row r="6" spans="1:7" ht="12.75">
      <c r="A6" s="95"/>
      <c r="B6" s="118" t="s">
        <v>54</v>
      </c>
      <c r="C6" s="118"/>
      <c r="D6" s="118"/>
      <c r="E6" s="9">
        <v>48000</v>
      </c>
      <c r="F6" s="9">
        <v>320000</v>
      </c>
      <c r="G6" s="15"/>
    </row>
    <row r="7" spans="1:7" ht="12.75">
      <c r="A7" s="95"/>
      <c r="B7" s="118" t="s">
        <v>56</v>
      </c>
      <c r="C7" s="118"/>
      <c r="D7" s="118"/>
      <c r="E7" s="36">
        <v>120000</v>
      </c>
      <c r="F7" s="36">
        <v>98000</v>
      </c>
      <c r="G7" s="15"/>
    </row>
    <row r="8" spans="1:7" ht="12.75">
      <c r="A8" s="95"/>
      <c r="B8" s="118" t="s">
        <v>55</v>
      </c>
      <c r="C8" s="118"/>
      <c r="D8" s="118"/>
      <c r="E8" s="36">
        <v>81000</v>
      </c>
      <c r="F8" s="36">
        <v>72000</v>
      </c>
      <c r="G8" s="15"/>
    </row>
    <row r="9" spans="1:7" ht="12.75">
      <c r="A9" s="95"/>
      <c r="B9" s="118" t="s">
        <v>62</v>
      </c>
      <c r="C9" s="118"/>
      <c r="D9" s="118"/>
      <c r="E9" s="36">
        <v>9000</v>
      </c>
      <c r="F9" s="36">
        <v>8000</v>
      </c>
      <c r="G9" s="15"/>
    </row>
    <row r="10" spans="1:7" ht="12.75">
      <c r="A10" s="95"/>
      <c r="B10" s="118" t="s">
        <v>57</v>
      </c>
      <c r="C10" s="118"/>
      <c r="D10" s="118"/>
      <c r="E10" s="36">
        <v>300000</v>
      </c>
      <c r="F10" s="36">
        <v>240000</v>
      </c>
      <c r="G10" s="15"/>
    </row>
    <row r="11" spans="1:7" ht="12.75">
      <c r="A11" s="95"/>
      <c r="B11" s="118" t="s">
        <v>58</v>
      </c>
      <c r="C11" s="118"/>
      <c r="D11" s="118"/>
      <c r="E11" s="36">
        <v>240000</v>
      </c>
      <c r="F11" s="36">
        <v>200000</v>
      </c>
      <c r="G11" s="15"/>
    </row>
    <row r="12" spans="1:7" ht="12.75">
      <c r="A12" s="95"/>
      <c r="B12" s="118"/>
      <c r="C12" s="118"/>
      <c r="D12" s="118"/>
      <c r="E12" s="36"/>
      <c r="F12" s="36"/>
      <c r="G12" s="15"/>
    </row>
    <row r="13" spans="1:7" ht="12.75">
      <c r="A13" s="95"/>
      <c r="B13" s="118" t="s">
        <v>126</v>
      </c>
      <c r="C13" s="118"/>
      <c r="D13" s="118"/>
      <c r="E13" s="36">
        <v>200000</v>
      </c>
      <c r="F13" s="36"/>
      <c r="G13" s="15"/>
    </row>
    <row r="14" spans="1:7" ht="12.75">
      <c r="A14" s="95"/>
      <c r="B14" s="118" t="s">
        <v>127</v>
      </c>
      <c r="C14" s="118"/>
      <c r="D14" s="118"/>
      <c r="E14" s="36">
        <v>9600</v>
      </c>
      <c r="F14" s="36"/>
      <c r="G14" s="15"/>
    </row>
    <row r="15" spans="1:7" ht="12.75">
      <c r="A15" s="95"/>
      <c r="B15" s="118" t="s">
        <v>128</v>
      </c>
      <c r="C15" s="118"/>
      <c r="D15" s="118"/>
      <c r="E15" s="36">
        <v>8000</v>
      </c>
      <c r="F15" s="36"/>
      <c r="G15" s="15"/>
    </row>
    <row r="16" spans="1:7" ht="12.75">
      <c r="A16" s="95"/>
      <c r="B16" s="118" t="s">
        <v>129</v>
      </c>
      <c r="C16" s="118"/>
      <c r="D16" s="118"/>
      <c r="E16" s="35">
        <v>64</v>
      </c>
      <c r="F16" s="10"/>
      <c r="G16" s="15"/>
    </row>
    <row r="17" spans="1:7" ht="12.75">
      <c r="A17" s="95"/>
      <c r="B17" s="125" t="s">
        <v>130</v>
      </c>
      <c r="C17" s="126"/>
      <c r="D17" s="126"/>
      <c r="E17" s="35">
        <v>78</v>
      </c>
      <c r="F17" s="10"/>
      <c r="G17" s="15"/>
    </row>
    <row r="18" spans="1:7" ht="12.75">
      <c r="A18" s="95"/>
      <c r="B18" s="15"/>
      <c r="C18" s="15"/>
      <c r="D18" s="15"/>
      <c r="E18" s="15"/>
      <c r="F18" s="15"/>
      <c r="G18" s="15"/>
    </row>
  </sheetData>
  <sheetProtection password="C690" sheet="1" objects="1" scenarios="1" selectLockedCells="1" selectUnlockedCells="1"/>
  <mergeCells count="16"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12:D12"/>
    <mergeCell ref="B3:F3"/>
    <mergeCell ref="A1:C1"/>
    <mergeCell ref="B4:D4"/>
    <mergeCell ref="B5:D5"/>
    <mergeCell ref="B6:D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D1" sqref="D1:E1"/>
    </sheetView>
  </sheetViews>
  <sheetFormatPr defaultColWidth="9.140625" defaultRowHeight="12.75" customHeight="1"/>
  <cols>
    <col min="1" max="1" width="2.7109375" style="0" customWidth="1"/>
    <col min="2" max="2" width="3.28125" style="0" customWidth="1"/>
    <col min="3" max="7" width="12.7109375" style="0" customWidth="1"/>
    <col min="8" max="8" width="2.7109375" style="1" customWidth="1"/>
    <col min="9" max="26" width="12.7109375" style="1" customWidth="1"/>
    <col min="27" max="48" width="9.140625" style="1" customWidth="1"/>
  </cols>
  <sheetData>
    <row r="1" spans="2:6" ht="12.75" customHeight="1">
      <c r="B1" s="1"/>
      <c r="C1" s="2" t="s">
        <v>0</v>
      </c>
      <c r="D1" s="111"/>
      <c r="E1" s="111"/>
      <c r="F1" s="94"/>
    </row>
    <row r="2" spans="2:6" ht="12.75" customHeight="1">
      <c r="B2" s="1"/>
      <c r="C2" s="2" t="s">
        <v>1</v>
      </c>
      <c r="D2" s="111"/>
      <c r="E2" s="111"/>
      <c r="F2" s="94"/>
    </row>
    <row r="3" spans="2:6" ht="12.75" customHeight="1">
      <c r="B3" s="1"/>
      <c r="C3" s="3"/>
      <c r="D3" s="110" t="s">
        <v>35</v>
      </c>
      <c r="E3" s="110"/>
      <c r="F3" s="93"/>
    </row>
    <row r="4" spans="2:6" ht="12.75" customHeight="1">
      <c r="B4" s="1"/>
      <c r="C4" s="1"/>
      <c r="D4" s="1"/>
      <c r="E4" s="1"/>
      <c r="F4" s="1"/>
    </row>
    <row r="5" spans="1:8" ht="12.75" customHeight="1">
      <c r="A5" s="95"/>
      <c r="B5" s="124" t="s">
        <v>131</v>
      </c>
      <c r="C5" s="124"/>
      <c r="D5" s="124"/>
      <c r="E5" s="124"/>
      <c r="F5" s="124"/>
      <c r="G5" s="124"/>
      <c r="H5" s="8"/>
    </row>
    <row r="6" spans="1:8" ht="12.75" customHeight="1">
      <c r="A6" s="95"/>
      <c r="B6" s="5"/>
      <c r="C6" s="118"/>
      <c r="D6" s="118"/>
      <c r="E6" s="118"/>
      <c r="F6" s="5"/>
      <c r="G6" s="5"/>
      <c r="H6" s="8"/>
    </row>
    <row r="7" spans="1:8" ht="12.75" customHeight="1">
      <c r="A7" s="95"/>
      <c r="B7" s="11"/>
      <c r="C7" s="118"/>
      <c r="D7" s="123"/>
      <c r="E7" s="123"/>
      <c r="F7" s="28">
        <v>2015</v>
      </c>
      <c r="G7" s="29">
        <v>2014</v>
      </c>
      <c r="H7" s="8"/>
    </row>
    <row r="8" spans="1:8" ht="12.75" customHeight="1">
      <c r="A8" s="95"/>
      <c r="B8" s="11"/>
      <c r="C8" s="118"/>
      <c r="D8" s="123"/>
      <c r="E8" s="123"/>
      <c r="F8" s="12"/>
      <c r="G8" s="13"/>
      <c r="H8" s="8"/>
    </row>
    <row r="9" spans="1:8" ht="12.75" customHeight="1">
      <c r="A9" s="95"/>
      <c r="B9" s="14" t="s">
        <v>2</v>
      </c>
      <c r="C9" s="118" t="s">
        <v>9</v>
      </c>
      <c r="D9" s="118"/>
      <c r="E9" s="118"/>
      <c r="F9" s="25"/>
      <c r="G9" s="26"/>
      <c r="H9" s="8"/>
    </row>
    <row r="10" spans="1:8" ht="12.75" customHeight="1">
      <c r="A10" s="95"/>
      <c r="B10" s="14"/>
      <c r="C10" s="118"/>
      <c r="D10" s="118"/>
      <c r="E10" s="118"/>
      <c r="F10" s="16">
        <f>IF(F9="","",IF(F9=0.1714,"Correct!","Try again!"))</f>
      </c>
      <c r="G10" s="16">
        <f>IF(G9="","",IF(G9=0.1543,"Correct!","Try again!"))</f>
      </c>
      <c r="H10" s="8"/>
    </row>
    <row r="11" spans="1:8" ht="12.75" customHeight="1">
      <c r="A11" s="95"/>
      <c r="B11" s="15"/>
      <c r="C11" s="118"/>
      <c r="D11" s="118"/>
      <c r="E11" s="118"/>
      <c r="F11" s="8"/>
      <c r="G11" s="8"/>
      <c r="H11" s="8"/>
    </row>
    <row r="12" spans="1:8" ht="12.75" customHeight="1">
      <c r="A12" s="95"/>
      <c r="B12" s="14" t="s">
        <v>3</v>
      </c>
      <c r="C12" s="118" t="s">
        <v>11</v>
      </c>
      <c r="D12" s="118"/>
      <c r="E12" s="118"/>
      <c r="F12" s="25"/>
      <c r="G12" s="26"/>
      <c r="H12" s="8"/>
    </row>
    <row r="13" spans="1:8" ht="12.75" customHeight="1">
      <c r="A13" s="95"/>
      <c r="B13" s="15"/>
      <c r="C13" s="118"/>
      <c r="D13" s="118"/>
      <c r="E13" s="118"/>
      <c r="F13" s="16">
        <f>IF(F12="","",IF(F12=0.1406,"Correct!","Try again!"))</f>
      </c>
      <c r="G13" s="16">
        <f>IF(G12="","",IF(G12=0.1107,"Correct!","Try again!"))</f>
      </c>
      <c r="H13" s="8"/>
    </row>
    <row r="14" spans="1:8" ht="12.75" customHeight="1">
      <c r="A14" s="95"/>
      <c r="B14" s="15"/>
      <c r="C14" s="118"/>
      <c r="D14" s="118"/>
      <c r="E14" s="118"/>
      <c r="F14" s="8"/>
      <c r="G14" s="8"/>
      <c r="H14" s="8"/>
    </row>
    <row r="15" spans="1:8" ht="12.75" customHeight="1">
      <c r="A15" s="95"/>
      <c r="B15" s="14" t="s">
        <v>5</v>
      </c>
      <c r="C15" s="118" t="s">
        <v>12</v>
      </c>
      <c r="D15" s="118"/>
      <c r="E15" s="118"/>
      <c r="F15" s="25"/>
      <c r="G15" s="26"/>
      <c r="H15" s="8"/>
    </row>
    <row r="16" spans="1:8" ht="12.75" customHeight="1">
      <c r="A16" s="95"/>
      <c r="B16" s="14"/>
      <c r="C16" s="118"/>
      <c r="D16" s="118"/>
      <c r="E16" s="118"/>
      <c r="F16" s="16">
        <f>IF(F15="","",IF(F15=0.2846,"Correct!","Try again!"))</f>
      </c>
      <c r="G16" s="16">
        <f>IF(G15="","",IF(G15=0.25,"Correct!","Try again!"))</f>
      </c>
      <c r="H16" s="8"/>
    </row>
    <row r="17" spans="1:8" ht="12.75" customHeight="1">
      <c r="A17" s="95"/>
      <c r="B17" s="14"/>
      <c r="C17" s="118"/>
      <c r="D17" s="118"/>
      <c r="E17" s="118"/>
      <c r="F17" s="8"/>
      <c r="G17" s="8"/>
      <c r="H17" s="8"/>
    </row>
    <row r="18" spans="1:8" ht="12.75" customHeight="1">
      <c r="A18" s="95"/>
      <c r="B18" s="14" t="s">
        <v>6</v>
      </c>
      <c r="C18" s="118" t="s">
        <v>4</v>
      </c>
      <c r="D18" s="118"/>
      <c r="E18" s="118"/>
      <c r="F18" s="20"/>
      <c r="G18" s="23"/>
      <c r="H18" s="8"/>
    </row>
    <row r="19" spans="1:8" ht="12.75" customHeight="1">
      <c r="A19" s="95"/>
      <c r="B19" s="15"/>
      <c r="C19" s="118"/>
      <c r="D19" s="118"/>
      <c r="E19" s="118"/>
      <c r="F19" s="16">
        <f>IF(F18="","",IF(F18=0.72,"Correct!","Try again!"))</f>
      </c>
      <c r="G19" s="16">
        <f>IF(G18="","",IF(G18=0.54,"Correct!","Try again!"))</f>
      </c>
      <c r="H19" s="8"/>
    </row>
    <row r="20" spans="1:8" ht="12.75" customHeight="1">
      <c r="A20" s="95"/>
      <c r="B20" s="15"/>
      <c r="C20" s="118"/>
      <c r="D20" s="118"/>
      <c r="E20" s="118"/>
      <c r="F20" s="8"/>
      <c r="G20" s="8"/>
      <c r="H20" s="8"/>
    </row>
    <row r="21" spans="1:8" ht="12.75" customHeight="1">
      <c r="A21" s="95"/>
      <c r="B21" s="14" t="s">
        <v>8</v>
      </c>
      <c r="C21" s="118" t="s">
        <v>13</v>
      </c>
      <c r="D21" s="118"/>
      <c r="E21" s="118"/>
      <c r="F21" s="27"/>
      <c r="G21" s="24"/>
      <c r="H21" s="8"/>
    </row>
    <row r="22" spans="1:8" ht="12.75" customHeight="1">
      <c r="A22" s="95"/>
      <c r="B22" s="15"/>
      <c r="C22" s="118"/>
      <c r="D22" s="118"/>
      <c r="E22" s="118"/>
      <c r="F22" s="16">
        <f>IF(F21="","",IF(F21=6.625,"Correct!","Try again!"))</f>
      </c>
      <c r="G22" s="16">
        <f>IF(G21="","",IF(G21=11,"Correct!","Try again!"))</f>
      </c>
      <c r="H22" s="8"/>
    </row>
    <row r="23" spans="1:8" ht="12.75" customHeight="1">
      <c r="A23" s="95"/>
      <c r="B23" s="15"/>
      <c r="C23" s="118"/>
      <c r="D23" s="118"/>
      <c r="E23" s="118"/>
      <c r="F23" s="8"/>
      <c r="G23" s="8"/>
      <c r="H23" s="8"/>
    </row>
    <row r="24" spans="1:8" ht="12.75" customHeight="1">
      <c r="A24" s="95"/>
      <c r="B24" s="14" t="s">
        <v>15</v>
      </c>
      <c r="C24" s="118" t="s">
        <v>16</v>
      </c>
      <c r="D24" s="118"/>
      <c r="E24" s="118"/>
      <c r="F24" s="20"/>
      <c r="G24" s="23"/>
      <c r="H24" s="8"/>
    </row>
    <row r="25" spans="1:8" ht="12.75" customHeight="1">
      <c r="A25" s="95"/>
      <c r="B25" s="15"/>
      <c r="C25" s="118"/>
      <c r="D25" s="118"/>
      <c r="E25" s="118"/>
      <c r="F25" s="16">
        <f>IF(F24="","",IF(F24=2.9,"Correct!","Try again!"))</f>
      </c>
      <c r="G25" s="16">
        <f>IF(G24="","",IF(G24=2.16,"Correct!","Try again!"))</f>
      </c>
      <c r="H25" s="8"/>
    </row>
    <row r="26" spans="1:8" ht="12.75" customHeight="1">
      <c r="A26" s="95"/>
      <c r="B26" s="15"/>
      <c r="C26" s="118"/>
      <c r="D26" s="118"/>
      <c r="E26" s="118"/>
      <c r="F26" s="8"/>
      <c r="G26" s="8"/>
      <c r="H26" s="8"/>
    </row>
    <row r="27" spans="1:8" ht="12.75" customHeight="1">
      <c r="A27" s="95"/>
      <c r="B27" s="14" t="s">
        <v>18</v>
      </c>
      <c r="C27" s="118" t="s">
        <v>63</v>
      </c>
      <c r="D27" s="118"/>
      <c r="E27" s="118"/>
      <c r="F27" s="27"/>
      <c r="G27" s="24"/>
      <c r="H27" s="8"/>
    </row>
    <row r="28" spans="1:8" ht="12.75" customHeight="1">
      <c r="A28" s="95"/>
      <c r="B28" s="14"/>
      <c r="C28" s="118"/>
      <c r="D28" s="118"/>
      <c r="E28" s="118"/>
      <c r="F28" s="16">
        <f>IF(F27="","",IF(AND(F27&gt;=18.6,F27&lt;=18.7),"Correct!","Try again!"))</f>
      </c>
      <c r="G28" s="16">
        <f>IF(G27="","",IF(G27=16,"Correct!","Try again!"))</f>
      </c>
      <c r="H28" s="8"/>
    </row>
    <row r="29" spans="1:8" ht="12.75" customHeight="1">
      <c r="A29" s="95"/>
      <c r="B29" s="14"/>
      <c r="C29" s="118"/>
      <c r="D29" s="118"/>
      <c r="E29" s="118"/>
      <c r="F29" s="8"/>
      <c r="G29" s="8"/>
      <c r="H29" s="8"/>
    </row>
    <row r="30" spans="1:8" ht="12.75" customHeight="1">
      <c r="A30" s="95"/>
      <c r="B30" s="14" t="s">
        <v>20</v>
      </c>
      <c r="C30" s="118" t="s">
        <v>21</v>
      </c>
      <c r="D30" s="118"/>
      <c r="E30" s="118"/>
      <c r="F30" s="21"/>
      <c r="G30" s="22"/>
      <c r="H30" s="8"/>
    </row>
    <row r="31" spans="1:8" ht="12.75" customHeight="1">
      <c r="A31" s="95"/>
      <c r="B31" s="14"/>
      <c r="C31" s="118"/>
      <c r="D31" s="118"/>
      <c r="E31" s="118"/>
      <c r="F31" s="16">
        <f>IF(F30="","",IF(F30=86000,"Correct!","Try again!"))</f>
      </c>
      <c r="G31" s="16">
        <f>IF(G30="","",IF(G30=70000,"Correct!","Try again!"))</f>
      </c>
      <c r="H31" s="8"/>
    </row>
    <row r="32" spans="1:8" ht="12.75" customHeight="1">
      <c r="A32" s="95"/>
      <c r="B32" s="14"/>
      <c r="C32" s="118"/>
      <c r="D32" s="118"/>
      <c r="E32" s="118"/>
      <c r="F32" s="8"/>
      <c r="G32" s="8"/>
      <c r="H32" s="8"/>
    </row>
    <row r="33" spans="1:8" ht="12.75" customHeight="1">
      <c r="A33" s="95"/>
      <c r="B33" s="14" t="s">
        <v>23</v>
      </c>
      <c r="C33" s="118" t="s">
        <v>24</v>
      </c>
      <c r="D33" s="118"/>
      <c r="E33" s="118"/>
      <c r="F33" s="37"/>
      <c r="G33" s="38"/>
      <c r="H33" s="8"/>
    </row>
    <row r="34" spans="1:8" ht="12.75" customHeight="1">
      <c r="A34" s="95"/>
      <c r="B34" s="14"/>
      <c r="C34" s="118"/>
      <c r="D34" s="118"/>
      <c r="E34" s="118"/>
      <c r="F34" s="16">
        <f>IF(F33="","",IF(AND(F33&gt;=2.5,F33&lt;=2.51),"Correct!","Try again!"))</f>
      </c>
      <c r="G34" s="16">
        <f>IF(G33="","",IF(AND(G33&gt;=2.01,G33&lt;=2.02),"Correct!","Try again!"))</f>
      </c>
      <c r="H34" s="8"/>
    </row>
    <row r="35" spans="1:8" ht="12.75" customHeight="1">
      <c r="A35" s="95"/>
      <c r="B35" s="14"/>
      <c r="C35" s="118"/>
      <c r="D35" s="118"/>
      <c r="E35" s="118"/>
      <c r="F35" s="8"/>
      <c r="G35" s="8"/>
      <c r="H35" s="8"/>
    </row>
    <row r="36" spans="1:8" ht="12.75" customHeight="1">
      <c r="A36" s="95"/>
      <c r="B36" s="14" t="s">
        <v>26</v>
      </c>
      <c r="C36" s="118" t="s">
        <v>59</v>
      </c>
      <c r="D36" s="118"/>
      <c r="E36" s="118"/>
      <c r="F36" s="27"/>
      <c r="G36" s="24"/>
      <c r="H36" s="8"/>
    </row>
    <row r="37" spans="1:8" ht="12.75" customHeight="1">
      <c r="A37" s="95"/>
      <c r="B37" s="14"/>
      <c r="C37" s="118"/>
      <c r="D37" s="118"/>
      <c r="E37" s="118"/>
      <c r="F37" s="16">
        <f>IF(F36="","",IF(F36=0.7,"Correct!","Try again!"))</f>
      </c>
      <c r="G37" s="16">
        <f>IF(G36="","",IF(G36=0.59,"Correct!","Try again!"))</f>
      </c>
      <c r="H37" s="8"/>
    </row>
    <row r="38" spans="1:8" ht="12.75" customHeight="1">
      <c r="A38" s="95"/>
      <c r="B38" s="14"/>
      <c r="C38" s="118"/>
      <c r="D38" s="118"/>
      <c r="E38" s="118"/>
      <c r="F38" s="8"/>
      <c r="G38" s="8"/>
      <c r="H38" s="8"/>
    </row>
    <row r="39" spans="1:8" ht="12.75" customHeight="1">
      <c r="A39" s="95"/>
      <c r="B39" s="14" t="s">
        <v>27</v>
      </c>
      <c r="C39" s="118" t="s">
        <v>28</v>
      </c>
      <c r="D39" s="118"/>
      <c r="E39" s="118"/>
      <c r="F39" s="27"/>
      <c r="G39" s="24"/>
      <c r="H39" s="8"/>
    </row>
    <row r="40" spans="1:8" ht="12.75" customHeight="1">
      <c r="A40" s="95"/>
      <c r="B40" s="14"/>
      <c r="C40" s="118"/>
      <c r="D40" s="118"/>
      <c r="E40" s="118"/>
      <c r="F40" s="16">
        <f>IF(F39="","",IF(F39=6.27,"Correct!","Try again!"))</f>
      </c>
      <c r="G40" s="16">
        <f>IF(G39="","",IF(G39=5.47,"Correct!","Try again!"))</f>
      </c>
      <c r="H40" s="8"/>
    </row>
    <row r="41" spans="1:8" ht="12.75" customHeight="1">
      <c r="A41" s="95"/>
      <c r="B41" s="14"/>
      <c r="C41" s="118"/>
      <c r="D41" s="118"/>
      <c r="E41" s="118"/>
      <c r="F41" s="8"/>
      <c r="G41" s="8"/>
      <c r="H41" s="8"/>
    </row>
    <row r="42" spans="1:8" ht="12.75" customHeight="1">
      <c r="A42" s="95"/>
      <c r="B42" s="14" t="s">
        <v>30</v>
      </c>
      <c r="C42" s="118" t="s">
        <v>31</v>
      </c>
      <c r="D42" s="118"/>
      <c r="E42" s="118"/>
      <c r="F42" s="27"/>
      <c r="G42" s="24"/>
      <c r="H42" s="8"/>
    </row>
    <row r="43" spans="1:8" ht="12.75" customHeight="1">
      <c r="A43" s="95"/>
      <c r="B43" s="14"/>
      <c r="C43" s="118"/>
      <c r="D43" s="118"/>
      <c r="E43" s="118"/>
      <c r="F43" s="16">
        <f>IF(F42="","",IF(F42=1.29,"Correct!","Try again!"))</f>
      </c>
      <c r="G43" s="16">
        <f>IF(G42="","",IF(G42=1.07,"Correct!","Try again!"))</f>
      </c>
      <c r="H43" s="8"/>
    </row>
    <row r="44" spans="1:8" ht="12.75" customHeight="1">
      <c r="A44" s="95"/>
      <c r="B44" s="14"/>
      <c r="C44" s="118"/>
      <c r="D44" s="118"/>
      <c r="E44" s="118"/>
      <c r="F44" s="8"/>
      <c r="G44" s="8"/>
      <c r="H44" s="8"/>
    </row>
    <row r="45" spans="1:8" ht="12.75" customHeight="1">
      <c r="A45" s="95"/>
      <c r="B45" s="14" t="s">
        <v>33</v>
      </c>
      <c r="C45" s="118" t="s">
        <v>64</v>
      </c>
      <c r="D45" s="118"/>
      <c r="E45" s="118"/>
      <c r="F45" s="58"/>
      <c r="G45" s="59"/>
      <c r="H45" s="8"/>
    </row>
    <row r="46" spans="1:8" ht="12.75" customHeight="1">
      <c r="A46" s="95"/>
      <c r="B46" s="14"/>
      <c r="C46" s="118"/>
      <c r="D46" s="118"/>
      <c r="E46" s="118"/>
      <c r="F46" s="16">
        <f>IF(F45="","",IF(AND(F45&gt;=0.848,F45&lt;=0.849),"Correct!","Try again!"))</f>
      </c>
      <c r="G46" s="16">
        <f>IF(G45="","",IF(AND(G45&gt;=1.259,G45&lt;=1.26),"Correct!","Try again!"))</f>
      </c>
      <c r="H46" s="8"/>
    </row>
    <row r="47" spans="1:8" ht="12.75" customHeight="1">
      <c r="A47" s="95"/>
      <c r="B47" s="14"/>
      <c r="C47" s="118"/>
      <c r="D47" s="118"/>
      <c r="E47" s="118"/>
      <c r="F47" s="8"/>
      <c r="G47" s="8"/>
      <c r="H47" s="8"/>
    </row>
    <row r="48" spans="1:8" ht="12.75" customHeight="1">
      <c r="A48" s="95"/>
      <c r="B48" s="14" t="s">
        <v>34</v>
      </c>
      <c r="C48" s="118" t="s">
        <v>65</v>
      </c>
      <c r="D48" s="118"/>
      <c r="E48" s="118"/>
      <c r="F48" s="56"/>
      <c r="G48" s="57"/>
      <c r="H48" s="8"/>
    </row>
    <row r="49" spans="1:8" ht="12.75" customHeight="1">
      <c r="A49" s="95"/>
      <c r="B49" s="15"/>
      <c r="C49" s="15"/>
      <c r="D49" s="15"/>
      <c r="E49" s="15"/>
      <c r="F49" s="16">
        <f>IF(F48="","",IF(F48=0.459,"Correct!","Try again!"))</f>
      </c>
      <c r="G49" s="16">
        <f>IF(G48="","",IF(AND(G48&gt;=0.557,G48&lt;=0.558),"Correct!","Try again!"))</f>
      </c>
      <c r="H49" s="8"/>
    </row>
  </sheetData>
  <sheetProtection password="C690" sheet="1" objects="1" scenarios="1" selectLockedCells="1"/>
  <mergeCells count="47">
    <mergeCell ref="C47:E47"/>
    <mergeCell ref="C38:E38"/>
    <mergeCell ref="C39:E39"/>
    <mergeCell ref="C40:E40"/>
    <mergeCell ref="C41:E41"/>
    <mergeCell ref="C48:E48"/>
    <mergeCell ref="C42:E42"/>
    <mergeCell ref="C43:E43"/>
    <mergeCell ref="C44:E44"/>
    <mergeCell ref="C45:E45"/>
    <mergeCell ref="C46:E46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B5:G5"/>
    <mergeCell ref="D3:E3"/>
    <mergeCell ref="D2:E2"/>
    <mergeCell ref="D1:E1"/>
    <mergeCell ref="C6:E6"/>
    <mergeCell ref="C7:E7"/>
  </mergeCells>
  <printOptions horizontalCentered="1"/>
  <pageMargins left="0.25" right="0.25" top="0.35" bottom="0.25" header="0" footer="0"/>
  <pageSetup horizontalDpi="300" verticalDpi="300" orientation="portrait" scale="12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22" width="12.7109375" style="0" customWidth="1"/>
  </cols>
  <sheetData>
    <row r="1" spans="1:6" ht="12.75">
      <c r="A1" s="120" t="s">
        <v>76</v>
      </c>
      <c r="B1" s="121"/>
      <c r="C1" s="121"/>
      <c r="D1" s="4"/>
      <c r="F1" s="4"/>
    </row>
    <row r="2" spans="5:6" ht="12.75">
      <c r="E2" s="4"/>
      <c r="F2" s="4"/>
    </row>
    <row r="3" spans="1:7" ht="12.75">
      <c r="A3" s="95"/>
      <c r="B3" s="112" t="s">
        <v>131</v>
      </c>
      <c r="C3" s="112"/>
      <c r="D3" s="112"/>
      <c r="E3" s="112"/>
      <c r="F3" s="112"/>
      <c r="G3" s="15"/>
    </row>
    <row r="4" spans="1:7" ht="12.75">
      <c r="A4" s="95"/>
      <c r="B4" s="112" t="s">
        <v>10</v>
      </c>
      <c r="C4" s="112"/>
      <c r="D4" s="112"/>
      <c r="E4" s="112"/>
      <c r="F4" s="112"/>
      <c r="G4" s="15"/>
    </row>
    <row r="5" spans="1:7" ht="12.75">
      <c r="A5" s="95"/>
      <c r="B5" s="113"/>
      <c r="C5" s="113"/>
      <c r="D5" s="113"/>
      <c r="E5" s="5"/>
      <c r="F5" s="5"/>
      <c r="G5" s="15"/>
    </row>
    <row r="6" spans="1:7" ht="12.75">
      <c r="A6" s="95"/>
      <c r="B6" s="113"/>
      <c r="C6" s="122"/>
      <c r="D6" s="122"/>
      <c r="E6" s="28">
        <v>2015</v>
      </c>
      <c r="F6" s="29">
        <v>2014</v>
      </c>
      <c r="G6" s="15"/>
    </row>
    <row r="7" spans="1:7" ht="12.75">
      <c r="A7" s="95"/>
      <c r="B7" s="118" t="s">
        <v>73</v>
      </c>
      <c r="C7" s="113"/>
      <c r="D7" s="113"/>
      <c r="E7" s="10"/>
      <c r="F7" s="10"/>
      <c r="G7" s="15"/>
    </row>
    <row r="8" spans="1:7" ht="12.75">
      <c r="A8" s="95"/>
      <c r="B8" s="118" t="s">
        <v>132</v>
      </c>
      <c r="C8" s="113"/>
      <c r="D8" s="113"/>
      <c r="E8" s="35">
        <v>210000</v>
      </c>
      <c r="F8" s="35">
        <v>175000</v>
      </c>
      <c r="G8" s="15"/>
    </row>
    <row r="9" spans="1:7" ht="12.75">
      <c r="A9" s="95"/>
      <c r="B9" s="118" t="s">
        <v>105</v>
      </c>
      <c r="C9" s="113"/>
      <c r="D9" s="113"/>
      <c r="E9" s="40">
        <v>4000</v>
      </c>
      <c r="F9" s="40">
        <v>5000</v>
      </c>
      <c r="G9" s="15"/>
    </row>
    <row r="10" spans="1:7" ht="12.75">
      <c r="A10" s="95"/>
      <c r="B10" s="118" t="s">
        <v>133</v>
      </c>
      <c r="C10" s="113"/>
      <c r="D10" s="113"/>
      <c r="E10" s="40">
        <f>SUM(E8:E9)</f>
        <v>214000</v>
      </c>
      <c r="F10" s="40">
        <f>SUM(F8:F9)</f>
        <v>180000</v>
      </c>
      <c r="G10" s="15"/>
    </row>
    <row r="11" spans="1:7" ht="12.75">
      <c r="A11" s="95"/>
      <c r="B11" s="118" t="s">
        <v>74</v>
      </c>
      <c r="C11" s="113"/>
      <c r="D11" s="113"/>
      <c r="E11" s="36"/>
      <c r="F11" s="36"/>
      <c r="G11" s="15"/>
    </row>
    <row r="12" spans="1:7" ht="12.75">
      <c r="A12" s="95"/>
      <c r="B12" s="118" t="s">
        <v>107</v>
      </c>
      <c r="C12" s="113"/>
      <c r="D12" s="113"/>
      <c r="E12" s="36">
        <v>126000</v>
      </c>
      <c r="F12" s="36">
        <v>103000</v>
      </c>
      <c r="G12" s="15"/>
    </row>
    <row r="13" spans="1:7" ht="12.75">
      <c r="A13" s="95"/>
      <c r="B13" s="118" t="s">
        <v>134</v>
      </c>
      <c r="C13" s="113"/>
      <c r="D13" s="113"/>
      <c r="E13" s="36">
        <v>21000</v>
      </c>
      <c r="F13" s="36">
        <v>19000</v>
      </c>
      <c r="G13" s="15"/>
    </row>
    <row r="14" spans="1:7" ht="12.75">
      <c r="A14" s="95"/>
      <c r="B14" s="118" t="s">
        <v>148</v>
      </c>
      <c r="C14" s="113"/>
      <c r="D14" s="113"/>
      <c r="E14" s="36">
        <v>11000</v>
      </c>
      <c r="F14" s="36">
        <v>10000</v>
      </c>
      <c r="G14" s="15"/>
    </row>
    <row r="15" spans="1:7" ht="12.75">
      <c r="A15" s="95"/>
      <c r="B15" s="118" t="s">
        <v>109</v>
      </c>
      <c r="C15" s="113"/>
      <c r="D15" s="113"/>
      <c r="E15" s="36">
        <v>3000</v>
      </c>
      <c r="F15" s="36">
        <v>3000</v>
      </c>
      <c r="G15" s="15"/>
    </row>
    <row r="16" spans="1:7" ht="12.75">
      <c r="A16" s="95"/>
      <c r="B16" s="118" t="s">
        <v>110</v>
      </c>
      <c r="C16" s="113"/>
      <c r="D16" s="113"/>
      <c r="E16" s="40">
        <v>21000</v>
      </c>
      <c r="F16" s="40">
        <v>18000</v>
      </c>
      <c r="G16" s="15"/>
    </row>
    <row r="17" spans="1:7" ht="12.75">
      <c r="A17" s="95"/>
      <c r="B17" s="118" t="s">
        <v>135</v>
      </c>
      <c r="C17" s="113"/>
      <c r="D17" s="113"/>
      <c r="E17" s="40">
        <f>SUM(E12:E16)</f>
        <v>182000</v>
      </c>
      <c r="F17" s="40">
        <f>SUM(F12:F16)</f>
        <v>153000</v>
      </c>
      <c r="G17" s="15"/>
    </row>
    <row r="18" spans="1:7" ht="12.75">
      <c r="A18" s="95"/>
      <c r="B18" s="113"/>
      <c r="C18" s="113"/>
      <c r="D18" s="113"/>
      <c r="E18" s="41"/>
      <c r="F18" s="41"/>
      <c r="G18" s="15"/>
    </row>
    <row r="19" spans="1:7" ht="12.75">
      <c r="A19" s="95"/>
      <c r="B19" s="118" t="s">
        <v>136</v>
      </c>
      <c r="C19" s="113"/>
      <c r="D19" s="113"/>
      <c r="E19" s="36">
        <f>E10-E17</f>
        <v>32000</v>
      </c>
      <c r="F19" s="36">
        <v>27000</v>
      </c>
      <c r="G19" s="15"/>
    </row>
    <row r="20" spans="1:7" ht="12.75">
      <c r="A20" s="95"/>
      <c r="B20" s="118" t="s">
        <v>137</v>
      </c>
      <c r="C20" s="113"/>
      <c r="D20" s="113"/>
      <c r="E20" s="36"/>
      <c r="F20" s="36"/>
      <c r="G20" s="15"/>
    </row>
    <row r="21" spans="1:7" ht="12.75">
      <c r="A21" s="95"/>
      <c r="B21" s="118" t="s">
        <v>138</v>
      </c>
      <c r="C21" s="113"/>
      <c r="D21" s="113"/>
      <c r="E21" s="40">
        <v>4000</v>
      </c>
      <c r="F21" s="40">
        <v>0</v>
      </c>
      <c r="G21" s="15"/>
    </row>
    <row r="22" spans="1:7" ht="13.5" thickBot="1">
      <c r="A22" s="95"/>
      <c r="B22" s="118" t="s">
        <v>122</v>
      </c>
      <c r="C22" s="113"/>
      <c r="D22" s="113"/>
      <c r="E22" s="49">
        <f>SUM(E19:E21)</f>
        <v>36000</v>
      </c>
      <c r="F22" s="49">
        <f>SUM(F19:F21)</f>
        <v>27000</v>
      </c>
      <c r="G22" s="15"/>
    </row>
    <row r="23" spans="1:7" ht="13.5" thickTop="1">
      <c r="A23" s="95"/>
      <c r="B23" s="113"/>
      <c r="C23" s="113"/>
      <c r="D23" s="113"/>
      <c r="E23" s="8"/>
      <c r="F23" s="8"/>
      <c r="G23" s="15"/>
    </row>
    <row r="24" spans="1:7" ht="12.75">
      <c r="A24" s="95"/>
      <c r="B24" s="113"/>
      <c r="C24" s="113"/>
      <c r="D24" s="113"/>
      <c r="E24" s="8"/>
      <c r="F24" s="8"/>
      <c r="G24" s="15"/>
    </row>
    <row r="25" spans="1:7" ht="12.75">
      <c r="A25" s="95"/>
      <c r="B25" s="112" t="s">
        <v>131</v>
      </c>
      <c r="C25" s="112"/>
      <c r="D25" s="112"/>
      <c r="E25" s="112"/>
      <c r="F25" s="112"/>
      <c r="G25" s="15"/>
    </row>
    <row r="26" spans="1:7" ht="12.75">
      <c r="A26" s="95"/>
      <c r="B26" s="112" t="s">
        <v>14</v>
      </c>
      <c r="C26" s="112"/>
      <c r="D26" s="112"/>
      <c r="E26" s="112"/>
      <c r="F26" s="112"/>
      <c r="G26" s="15"/>
    </row>
    <row r="27" spans="1:7" ht="12.75">
      <c r="A27" s="95"/>
      <c r="B27" s="113"/>
      <c r="C27" s="113"/>
      <c r="D27" s="113"/>
      <c r="E27" s="5"/>
      <c r="F27" s="5"/>
      <c r="G27" s="15"/>
    </row>
    <row r="28" spans="1:7" ht="12.75">
      <c r="A28" s="95"/>
      <c r="B28" s="113"/>
      <c r="C28" s="113"/>
      <c r="D28" s="113"/>
      <c r="E28" s="28">
        <v>2015</v>
      </c>
      <c r="F28" s="29">
        <v>2014</v>
      </c>
      <c r="G28" s="15"/>
    </row>
    <row r="29" spans="1:7" ht="12.75">
      <c r="A29" s="95"/>
      <c r="B29" s="128" t="s">
        <v>17</v>
      </c>
      <c r="C29" s="128"/>
      <c r="D29" s="128"/>
      <c r="E29" s="43"/>
      <c r="F29" s="43"/>
      <c r="G29" s="15"/>
    </row>
    <row r="30" spans="1:7" ht="12.75">
      <c r="A30" s="95"/>
      <c r="B30" s="118" t="s">
        <v>85</v>
      </c>
      <c r="C30" s="113"/>
      <c r="D30" s="113"/>
      <c r="E30" s="43"/>
      <c r="F30" s="43"/>
      <c r="G30" s="15"/>
    </row>
    <row r="31" spans="1:7" ht="12.75">
      <c r="A31" s="95"/>
      <c r="B31" s="113" t="s">
        <v>19</v>
      </c>
      <c r="C31" s="113"/>
      <c r="D31" s="113"/>
      <c r="E31" s="35">
        <v>4000</v>
      </c>
      <c r="F31" s="35">
        <v>8000</v>
      </c>
      <c r="G31" s="15"/>
    </row>
    <row r="32" spans="1:7" ht="12.75">
      <c r="A32" s="95"/>
      <c r="B32" s="118" t="s">
        <v>86</v>
      </c>
      <c r="C32" s="113"/>
      <c r="D32" s="113"/>
      <c r="E32" s="36">
        <v>1000</v>
      </c>
      <c r="F32" s="36">
        <v>1000</v>
      </c>
      <c r="G32" s="15"/>
    </row>
    <row r="33" spans="1:7" ht="12.75">
      <c r="A33" s="95"/>
      <c r="B33" s="118" t="s">
        <v>139</v>
      </c>
      <c r="C33" s="113"/>
      <c r="D33" s="113"/>
      <c r="E33" s="36">
        <v>35000</v>
      </c>
      <c r="F33" s="36">
        <v>32000</v>
      </c>
      <c r="G33" s="15"/>
    </row>
    <row r="34" spans="1:7" ht="12.75">
      <c r="A34" s="95"/>
      <c r="B34" s="113" t="s">
        <v>22</v>
      </c>
      <c r="C34" s="113"/>
      <c r="D34" s="113"/>
      <c r="E34" s="36">
        <v>100000</v>
      </c>
      <c r="F34" s="36">
        <v>96000</v>
      </c>
      <c r="G34" s="15"/>
    </row>
    <row r="35" spans="1:7" ht="12.75">
      <c r="A35" s="95"/>
      <c r="B35" s="118" t="s">
        <v>140</v>
      </c>
      <c r="C35" s="113"/>
      <c r="D35" s="113"/>
      <c r="E35" s="40">
        <v>3000</v>
      </c>
      <c r="F35" s="40">
        <v>2000</v>
      </c>
      <c r="G35" s="15"/>
    </row>
    <row r="36" spans="1:7" ht="12.75">
      <c r="A36" s="95"/>
      <c r="B36" s="118" t="s">
        <v>89</v>
      </c>
      <c r="C36" s="113"/>
      <c r="D36" s="113"/>
      <c r="E36" s="36">
        <f>SUM(E31:E35)</f>
        <v>143000</v>
      </c>
      <c r="F36" s="36">
        <f>SUM(F31:F35)</f>
        <v>139000</v>
      </c>
      <c r="G36" s="15"/>
    </row>
    <row r="37" spans="1:7" ht="12.75">
      <c r="A37" s="95"/>
      <c r="B37" s="118" t="s">
        <v>141</v>
      </c>
      <c r="C37" s="113"/>
      <c r="D37" s="113"/>
      <c r="E37" s="36">
        <v>105000</v>
      </c>
      <c r="F37" s="44">
        <v>105000</v>
      </c>
      <c r="G37" s="15"/>
    </row>
    <row r="38" spans="1:7" ht="12.75">
      <c r="A38" s="95"/>
      <c r="B38" s="113" t="s">
        <v>25</v>
      </c>
      <c r="C38" s="113"/>
      <c r="D38" s="113"/>
      <c r="E38" s="40">
        <v>20000</v>
      </c>
      <c r="F38" s="45">
        <v>0</v>
      </c>
      <c r="G38" s="15"/>
    </row>
    <row r="39" spans="1:7" ht="13.5" thickBot="1">
      <c r="A39" s="95"/>
      <c r="B39" s="118" t="s">
        <v>90</v>
      </c>
      <c r="C39" s="113"/>
      <c r="D39" s="113"/>
      <c r="E39" s="49">
        <f>SUM(E36:E38)</f>
        <v>268000</v>
      </c>
      <c r="F39" s="49">
        <f>SUM(F36:F38)</f>
        <v>244000</v>
      </c>
      <c r="G39" s="15"/>
    </row>
    <row r="40" spans="1:7" ht="13.5" thickTop="1">
      <c r="A40" s="95"/>
      <c r="B40" s="113"/>
      <c r="C40" s="113"/>
      <c r="D40" s="113"/>
      <c r="E40" s="10"/>
      <c r="F40" s="17"/>
      <c r="G40" s="15"/>
    </row>
    <row r="41" spans="1:7" ht="12.75">
      <c r="A41" s="95"/>
      <c r="B41" s="128" t="s">
        <v>69</v>
      </c>
      <c r="C41" s="128"/>
      <c r="D41" s="128"/>
      <c r="E41" s="17"/>
      <c r="F41" s="17"/>
      <c r="G41" s="15"/>
    </row>
    <row r="42" spans="1:7" ht="12.75">
      <c r="A42" s="95"/>
      <c r="B42" s="127" t="s">
        <v>29</v>
      </c>
      <c r="C42" s="127"/>
      <c r="D42" s="127"/>
      <c r="E42" s="17"/>
      <c r="F42" s="17"/>
      <c r="G42" s="15"/>
    </row>
    <row r="43" spans="1:7" ht="12.75">
      <c r="A43" s="95"/>
      <c r="B43" s="127" t="s">
        <v>145</v>
      </c>
      <c r="C43" s="127"/>
      <c r="D43" s="127"/>
      <c r="E43" s="15"/>
      <c r="F43" s="15"/>
      <c r="G43" s="15"/>
    </row>
    <row r="44" spans="1:7" ht="12.75">
      <c r="A44" s="95"/>
      <c r="B44" s="127" t="s">
        <v>146</v>
      </c>
      <c r="C44" s="127"/>
      <c r="D44" s="127"/>
      <c r="E44" s="48">
        <v>40000</v>
      </c>
      <c r="F44" s="48">
        <v>54000</v>
      </c>
      <c r="G44" s="15"/>
    </row>
    <row r="45" spans="1:7" ht="12.75">
      <c r="A45" s="95"/>
      <c r="B45" s="127" t="s">
        <v>68</v>
      </c>
      <c r="C45" s="127"/>
      <c r="D45" s="127"/>
      <c r="E45" s="45">
        <v>17000</v>
      </c>
      <c r="F45" s="45">
        <v>15000</v>
      </c>
      <c r="G45" s="15"/>
    </row>
    <row r="46" spans="1:7" ht="12.75">
      <c r="A46" s="95"/>
      <c r="B46" s="127" t="s">
        <v>147</v>
      </c>
      <c r="C46" s="127"/>
      <c r="D46" s="127"/>
      <c r="E46" s="44">
        <f>SUM(E44:E45)</f>
        <v>57000</v>
      </c>
      <c r="F46" s="44">
        <f>SUM(F44:F45)</f>
        <v>69000</v>
      </c>
      <c r="G46" s="15"/>
    </row>
    <row r="47" spans="1:7" ht="12.75">
      <c r="A47" s="95"/>
      <c r="B47" s="127" t="s">
        <v>142</v>
      </c>
      <c r="C47" s="127"/>
      <c r="D47" s="127"/>
      <c r="E47" s="45">
        <v>66000</v>
      </c>
      <c r="F47" s="45">
        <v>67000</v>
      </c>
      <c r="G47" s="15"/>
    </row>
    <row r="48" spans="1:7" ht="12.75">
      <c r="A48" s="95"/>
      <c r="B48" s="127" t="s">
        <v>143</v>
      </c>
      <c r="C48" s="127"/>
      <c r="D48" s="127"/>
      <c r="E48" s="45">
        <f>SUM(E46:E47)</f>
        <v>123000</v>
      </c>
      <c r="F48" s="45">
        <f>SUM(F46:F47)</f>
        <v>136000</v>
      </c>
      <c r="G48" s="15"/>
    </row>
    <row r="49" spans="1:7" ht="12.75">
      <c r="A49" s="95"/>
      <c r="B49" s="127"/>
      <c r="C49" s="127"/>
      <c r="D49" s="127"/>
      <c r="E49" s="44"/>
      <c r="F49" s="44"/>
      <c r="G49" s="15"/>
    </row>
    <row r="50" spans="1:7" ht="12.75">
      <c r="A50" s="95"/>
      <c r="B50" s="127" t="s">
        <v>144</v>
      </c>
      <c r="C50" s="127"/>
      <c r="D50" s="127"/>
      <c r="E50" s="44"/>
      <c r="F50" s="44"/>
      <c r="G50" s="15"/>
    </row>
    <row r="51" spans="1:7" ht="12.75">
      <c r="A51" s="95"/>
      <c r="B51" s="127" t="s">
        <v>118</v>
      </c>
      <c r="C51" s="127"/>
      <c r="D51" s="127"/>
      <c r="E51" s="44">
        <v>115000</v>
      </c>
      <c r="F51" s="44">
        <v>115000</v>
      </c>
      <c r="G51" s="15"/>
    </row>
    <row r="52" spans="1:7" ht="12.75">
      <c r="A52" s="95"/>
      <c r="B52" s="127" t="s">
        <v>103</v>
      </c>
      <c r="C52" s="127"/>
      <c r="D52" s="127"/>
      <c r="E52" s="45">
        <v>30000</v>
      </c>
      <c r="F52" s="45">
        <v>-7000</v>
      </c>
      <c r="G52" s="15"/>
    </row>
    <row r="53" spans="1:7" ht="12.75">
      <c r="A53" s="95"/>
      <c r="B53" s="127" t="s">
        <v>104</v>
      </c>
      <c r="C53" s="127"/>
      <c r="D53" s="127"/>
      <c r="E53" s="45">
        <f>SUM(E51:E52)</f>
        <v>145000</v>
      </c>
      <c r="F53" s="45">
        <f>SUM(F51:F52)</f>
        <v>108000</v>
      </c>
      <c r="G53" s="15"/>
    </row>
    <row r="54" spans="1:7" ht="13.5" thickBot="1">
      <c r="A54" s="95"/>
      <c r="B54" s="127" t="s">
        <v>70</v>
      </c>
      <c r="C54" s="127"/>
      <c r="D54" s="127"/>
      <c r="E54" s="47">
        <f>E48+E53</f>
        <v>268000</v>
      </c>
      <c r="F54" s="47">
        <f>F48+F53</f>
        <v>244000</v>
      </c>
      <c r="G54" s="15"/>
    </row>
    <row r="55" spans="1:7" ht="13.5" thickTop="1">
      <c r="A55" s="95"/>
      <c r="B55" s="127"/>
      <c r="C55" s="127"/>
      <c r="D55" s="127"/>
      <c r="E55" s="15"/>
      <c r="F55" s="15"/>
      <c r="G55" s="15"/>
    </row>
    <row r="56" spans="1:7" ht="12.75">
      <c r="A56" s="95"/>
      <c r="B56" s="15">
        <v>2014</v>
      </c>
      <c r="C56" s="15"/>
      <c r="D56" s="15"/>
      <c r="E56" s="50">
        <v>5.94</v>
      </c>
      <c r="F56" s="15"/>
      <c r="G56" s="15"/>
    </row>
    <row r="57" spans="1:7" ht="12.75">
      <c r="A57" s="95"/>
      <c r="B57" s="15">
        <v>2015</v>
      </c>
      <c r="C57" s="15"/>
      <c r="D57" s="15"/>
      <c r="E57" s="51">
        <v>4.77</v>
      </c>
      <c r="F57" s="15"/>
      <c r="G57" s="15"/>
    </row>
    <row r="58" spans="1:7" ht="12.75">
      <c r="A58" s="95"/>
      <c r="B58" s="15"/>
      <c r="C58" s="15"/>
      <c r="D58" s="15"/>
      <c r="E58" s="15"/>
      <c r="F58" s="15"/>
      <c r="G58" s="15"/>
    </row>
  </sheetData>
  <sheetProtection password="C690" sheet="1" objects="1" scenarios="1" selectLockedCells="1" selectUnlockedCells="1"/>
  <mergeCells count="54">
    <mergeCell ref="B55:D55"/>
    <mergeCell ref="B49:D49"/>
    <mergeCell ref="B48:D48"/>
    <mergeCell ref="B47:D47"/>
    <mergeCell ref="B46:D46"/>
    <mergeCell ref="B45:D45"/>
    <mergeCell ref="B54:D54"/>
    <mergeCell ref="B53:D53"/>
    <mergeCell ref="B52:D52"/>
    <mergeCell ref="B51:D51"/>
    <mergeCell ref="B50:D50"/>
    <mergeCell ref="B37:D37"/>
    <mergeCell ref="B38:D38"/>
    <mergeCell ref="B39:D39"/>
    <mergeCell ref="B40:D40"/>
    <mergeCell ref="B29:D29"/>
    <mergeCell ref="B44:D44"/>
    <mergeCell ref="B43:D43"/>
    <mergeCell ref="B42:D42"/>
    <mergeCell ref="B41:D41"/>
    <mergeCell ref="B31:D31"/>
    <mergeCell ref="B32:D32"/>
    <mergeCell ref="B33:D33"/>
    <mergeCell ref="B34:D34"/>
    <mergeCell ref="B35:D35"/>
    <mergeCell ref="B36:D36"/>
    <mergeCell ref="B22:D22"/>
    <mergeCell ref="B23:D23"/>
    <mergeCell ref="B24:D24"/>
    <mergeCell ref="B27:D27"/>
    <mergeCell ref="B28:D28"/>
    <mergeCell ref="B30:D30"/>
    <mergeCell ref="B16:D16"/>
    <mergeCell ref="B17:D17"/>
    <mergeCell ref="B18:D18"/>
    <mergeCell ref="B19:D19"/>
    <mergeCell ref="B20:D20"/>
    <mergeCell ref="B21:D21"/>
    <mergeCell ref="B6:D6"/>
    <mergeCell ref="B7:D7"/>
    <mergeCell ref="B8:D8"/>
    <mergeCell ref="B9:D9"/>
    <mergeCell ref="B10:D10"/>
    <mergeCell ref="B11:D11"/>
    <mergeCell ref="B12:D12"/>
    <mergeCell ref="B26:F26"/>
    <mergeCell ref="B25:F25"/>
    <mergeCell ref="B4:F4"/>
    <mergeCell ref="B3:F3"/>
    <mergeCell ref="A1:C1"/>
    <mergeCell ref="B5:D5"/>
    <mergeCell ref="B13:D13"/>
    <mergeCell ref="B14:D14"/>
    <mergeCell ref="B15:D15"/>
  </mergeCells>
  <printOptions horizontalCentered="1"/>
  <pageMargins left="0.75" right="0.75" top="0.4" bottom="0.33" header="0.27" footer="0.3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B1">
      <selection activeCell="D1" sqref="D1:E1"/>
    </sheetView>
  </sheetViews>
  <sheetFormatPr defaultColWidth="9.140625" defaultRowHeight="12.75" customHeight="1"/>
  <cols>
    <col min="1" max="1" width="2.7109375" style="0" customWidth="1"/>
    <col min="2" max="2" width="3.28125" style="0" customWidth="1"/>
    <col min="3" max="7" width="12.7109375" style="0" customWidth="1"/>
    <col min="8" max="8" width="2.7109375" style="1" customWidth="1"/>
    <col min="9" max="30" width="12.7109375" style="1" customWidth="1"/>
    <col min="31" max="52" width="9.140625" style="1" customWidth="1"/>
  </cols>
  <sheetData>
    <row r="1" spans="2:6" ht="12.75" customHeight="1">
      <c r="B1" s="1"/>
      <c r="C1" s="2" t="s">
        <v>0</v>
      </c>
      <c r="D1" s="111"/>
      <c r="E1" s="111"/>
      <c r="F1" s="94"/>
    </row>
    <row r="2" spans="2:6" ht="12.75" customHeight="1">
      <c r="B2" s="1"/>
      <c r="C2" s="2" t="s">
        <v>1</v>
      </c>
      <c r="D2" s="111"/>
      <c r="E2" s="111"/>
      <c r="F2" s="94"/>
    </row>
    <row r="3" spans="2:6" ht="12.75" customHeight="1">
      <c r="B3" s="1"/>
      <c r="C3" s="3"/>
      <c r="D3" s="110" t="s">
        <v>51</v>
      </c>
      <c r="E3" s="110"/>
      <c r="F3" s="93"/>
    </row>
    <row r="4" spans="2:6" ht="12.75" customHeight="1">
      <c r="B4" s="1"/>
      <c r="C4" s="1"/>
      <c r="D4" s="1"/>
      <c r="E4" s="1"/>
      <c r="F4" s="1"/>
    </row>
    <row r="5" spans="1:8" ht="12.75" customHeight="1">
      <c r="A5" s="95"/>
      <c r="B5" s="5"/>
      <c r="C5" s="124" t="s">
        <v>79</v>
      </c>
      <c r="D5" s="124"/>
      <c r="E5" s="124"/>
      <c r="F5" s="124"/>
      <c r="G5" s="124"/>
      <c r="H5" s="8"/>
    </row>
    <row r="6" spans="1:8" ht="12.75" customHeight="1">
      <c r="A6" s="95"/>
      <c r="B6" s="5"/>
      <c r="C6" s="118"/>
      <c r="D6" s="118"/>
      <c r="E6" s="118"/>
      <c r="F6" s="5"/>
      <c r="G6" s="5"/>
      <c r="H6" s="8"/>
    </row>
    <row r="7" spans="1:8" ht="12.75" customHeight="1">
      <c r="A7" s="95"/>
      <c r="B7" s="11"/>
      <c r="C7" s="118"/>
      <c r="D7" s="123"/>
      <c r="E7" s="123"/>
      <c r="F7" s="28">
        <v>2015</v>
      </c>
      <c r="G7" s="29">
        <v>2014</v>
      </c>
      <c r="H7" s="8"/>
    </row>
    <row r="8" spans="1:8" ht="12.75" customHeight="1">
      <c r="A8" s="95"/>
      <c r="B8" s="11"/>
      <c r="C8" s="118"/>
      <c r="D8" s="123"/>
      <c r="E8" s="123"/>
      <c r="F8" s="12"/>
      <c r="G8" s="13"/>
      <c r="H8" s="8"/>
    </row>
    <row r="9" spans="1:8" ht="12.75" customHeight="1">
      <c r="A9" s="95"/>
      <c r="B9" s="14" t="s">
        <v>2</v>
      </c>
      <c r="C9" s="118" t="s">
        <v>21</v>
      </c>
      <c r="D9" s="118"/>
      <c r="E9" s="118"/>
      <c r="F9" s="52"/>
      <c r="G9" s="53"/>
      <c r="H9" s="8"/>
    </row>
    <row r="10" spans="1:8" ht="12.75" customHeight="1">
      <c r="A10" s="95"/>
      <c r="B10" s="15"/>
      <c r="C10" s="118"/>
      <c r="D10" s="118"/>
      <c r="E10" s="118"/>
      <c r="F10" s="16">
        <f>IF(F9="","",IF(F9=98200,"Correct!","Try again!"))</f>
      </c>
      <c r="G10" s="16">
        <f>IF(G9="","",IF(G9=96000,"Correct!","Try again!"))</f>
      </c>
      <c r="H10" s="8"/>
    </row>
    <row r="11" spans="1:8" ht="12.75" customHeight="1">
      <c r="A11" s="95"/>
      <c r="B11" s="14" t="s">
        <v>3</v>
      </c>
      <c r="C11" s="118" t="s">
        <v>24</v>
      </c>
      <c r="D11" s="118"/>
      <c r="E11" s="118"/>
      <c r="F11" s="27"/>
      <c r="G11" s="24"/>
      <c r="H11" s="8"/>
    </row>
    <row r="12" spans="1:8" ht="12.75" customHeight="1">
      <c r="A12" s="95"/>
      <c r="B12" s="15"/>
      <c r="C12" s="118"/>
      <c r="D12" s="118"/>
      <c r="E12" s="118"/>
      <c r="F12" s="109">
        <f>IF(F11="","",IF(AND(F11&gt;=1.645,F11&lt;=1.65),"Correct!","Try again!"))</f>
      </c>
      <c r="G12" s="109">
        <f>IF(G11="","",IF(AND(G11&gt;=1.79,G11&lt;=1.795),"Correct!","Try again!"))</f>
      </c>
      <c r="H12" s="8"/>
    </row>
    <row r="13" spans="1:8" ht="12.75" customHeight="1">
      <c r="A13" s="95"/>
      <c r="B13" s="14" t="s">
        <v>5</v>
      </c>
      <c r="C13" s="118" t="s">
        <v>38</v>
      </c>
      <c r="D13" s="118"/>
      <c r="E13" s="118"/>
      <c r="F13" s="27"/>
      <c r="G13" s="24"/>
      <c r="H13" s="8"/>
    </row>
    <row r="14" spans="1:8" ht="12.75" customHeight="1">
      <c r="A14" s="95"/>
      <c r="B14" s="14"/>
      <c r="C14" s="118"/>
      <c r="D14" s="118"/>
      <c r="E14" s="118"/>
      <c r="F14" s="109">
        <f>IF(F13="","",IF(AND(F13&gt;=0.59,F13&lt;=0.595),"Correct!","Try again!"))</f>
      </c>
      <c r="G14" s="109">
        <f>IF(G13="","",IF(AND(G13&gt;=0.525,G13&lt;=0.53),"Correct!","Try again!"))</f>
      </c>
      <c r="H14" s="8"/>
    </row>
    <row r="15" spans="1:8" ht="12.75" customHeight="1">
      <c r="A15" s="95"/>
      <c r="B15" s="14" t="s">
        <v>6</v>
      </c>
      <c r="C15" s="118" t="s">
        <v>39</v>
      </c>
      <c r="D15" s="118"/>
      <c r="E15" s="118"/>
      <c r="F15" s="27"/>
      <c r="G15" s="24"/>
      <c r="H15" s="8"/>
    </row>
    <row r="16" spans="1:8" ht="12.75" customHeight="1">
      <c r="A16" s="95"/>
      <c r="B16" s="15"/>
      <c r="C16" s="118"/>
      <c r="D16" s="118"/>
      <c r="E16" s="118"/>
      <c r="F16" s="16">
        <f>IF(F15="","",IF(F15=4.6,"Correct!","Try again!"))</f>
      </c>
      <c r="G16" s="16">
        <f>IF(G15="","",IF(AND(G15&gt;=4.51,G15&lt;=4.52),"Correct!","Try again!"))</f>
      </c>
      <c r="H16" s="8"/>
    </row>
    <row r="17" spans="1:8" ht="12.75" customHeight="1">
      <c r="A17" s="95"/>
      <c r="B17" s="14" t="s">
        <v>8</v>
      </c>
      <c r="C17" s="118" t="s">
        <v>149</v>
      </c>
      <c r="D17" s="118"/>
      <c r="E17" s="118"/>
      <c r="F17" s="52"/>
      <c r="G17" s="53"/>
      <c r="H17" s="8"/>
    </row>
    <row r="18" spans="1:8" ht="12.75" customHeight="1">
      <c r="A18" s="95"/>
      <c r="B18" s="15"/>
      <c r="C18" s="118"/>
      <c r="D18" s="118"/>
      <c r="E18" s="118"/>
      <c r="F18" s="109">
        <f>IF(F17="","",IF(AND(F17&gt;=79,F17&lt;=79.5),"Correct!","Try again!"))</f>
      </c>
      <c r="G18" s="109">
        <f>IF(G17="","",IF(AND(G17&gt;=80.5,G17&lt;=81),"Correct!","Try again!"))</f>
      </c>
      <c r="H18" s="8"/>
    </row>
    <row r="19" spans="1:8" ht="12.75" customHeight="1">
      <c r="A19" s="95"/>
      <c r="B19" s="14" t="s">
        <v>15</v>
      </c>
      <c r="C19" s="118" t="s">
        <v>31</v>
      </c>
      <c r="D19" s="118"/>
      <c r="E19" s="118"/>
      <c r="F19" s="27"/>
      <c r="G19" s="24"/>
      <c r="H19" s="8"/>
    </row>
    <row r="20" spans="1:8" ht="12.75" customHeight="1">
      <c r="A20" s="95"/>
      <c r="B20" s="15"/>
      <c r="C20" s="118"/>
      <c r="D20" s="118"/>
      <c r="E20" s="118"/>
      <c r="F20" s="109">
        <f>IF(F19="","",IF(AND(F19&gt;=0.86,F19&lt;=0.865),"Correct!","Try again!"))</f>
      </c>
      <c r="G20" s="109">
        <f>IF(G19="","",IF(AND(G19&gt;=0.725,G19&lt;=0.73),"Correct!","Try again!"))</f>
      </c>
      <c r="H20" s="8"/>
    </row>
    <row r="21" spans="1:8" ht="12.75" customHeight="1">
      <c r="A21" s="95"/>
      <c r="B21" s="14" t="s">
        <v>18</v>
      </c>
      <c r="C21" s="118" t="s">
        <v>66</v>
      </c>
      <c r="D21" s="118"/>
      <c r="E21" s="118"/>
      <c r="F21" s="52"/>
      <c r="G21" s="53"/>
      <c r="H21" s="8"/>
    </row>
    <row r="22" spans="1:8" ht="12.75" customHeight="1">
      <c r="A22" s="95"/>
      <c r="B22" s="14"/>
      <c r="C22" s="118"/>
      <c r="D22" s="118"/>
      <c r="E22" s="118"/>
      <c r="F22" s="109">
        <f>IF(F21="","",IF(AND(F21&gt;=424,F21&lt;=424.5),"Correct!","Try again!"))</f>
      </c>
      <c r="G22" s="16">
        <f>IF(G21="","",IF(G21=500,"Correct!","Try again!"))</f>
      </c>
      <c r="H22" s="8"/>
    </row>
    <row r="23" spans="1:8" ht="12.75" customHeight="1">
      <c r="A23" s="95"/>
      <c r="B23" s="14" t="s">
        <v>20</v>
      </c>
      <c r="C23" s="118" t="s">
        <v>65</v>
      </c>
      <c r="D23" s="118"/>
      <c r="E23" s="118"/>
      <c r="F23" s="56"/>
      <c r="G23" s="57"/>
      <c r="H23" s="8"/>
    </row>
    <row r="24" spans="1:8" ht="12.75" customHeight="1">
      <c r="A24" s="95"/>
      <c r="B24" s="14"/>
      <c r="C24" s="118"/>
      <c r="D24" s="118"/>
      <c r="E24" s="118"/>
      <c r="F24" s="109">
        <f>IF(F23="","",IF(AND(F23&gt;=0.49,F23&lt;=0.495),"Correct!","Try again!"))</f>
      </c>
      <c r="G24" s="109">
        <f>IF(G23="","",IF(AND(G23&gt;=0.18,G23&lt;=0.485),"Correct!","Try again!"))</f>
      </c>
      <c r="H24" s="8"/>
    </row>
    <row r="25" spans="1:8" ht="12.75" customHeight="1">
      <c r="A25" s="95"/>
      <c r="B25" s="14" t="s">
        <v>23</v>
      </c>
      <c r="C25" s="118" t="s">
        <v>64</v>
      </c>
      <c r="D25" s="118"/>
      <c r="E25" s="118"/>
      <c r="F25" s="58"/>
      <c r="G25" s="59"/>
      <c r="H25" s="8"/>
    </row>
    <row r="26" spans="1:8" ht="12.75" customHeight="1">
      <c r="A26" s="95"/>
      <c r="B26" s="14"/>
      <c r="C26" s="118"/>
      <c r="D26" s="118"/>
      <c r="E26" s="118"/>
      <c r="F26" s="109">
        <f>IF(F25="","",IF(AND(F25&gt;=0.97,F25&lt;=0.975),"Correct!","Try again!"))</f>
      </c>
      <c r="G26" s="109">
        <f>IF(G25="","",IF(AND(G25&gt;=0.925,G25&lt;=0.93),"Correct!","Try again!"))</f>
      </c>
      <c r="H26" s="8"/>
    </row>
    <row r="27" spans="1:8" ht="12.75" customHeight="1">
      <c r="A27" s="95"/>
      <c r="B27" s="14" t="s">
        <v>26</v>
      </c>
      <c r="C27" s="118" t="s">
        <v>67</v>
      </c>
      <c r="D27" s="118"/>
      <c r="E27" s="118"/>
      <c r="F27" s="60"/>
      <c r="G27" s="61"/>
      <c r="H27" s="8"/>
    </row>
    <row r="28" spans="1:8" ht="12.75" customHeight="1">
      <c r="A28" s="95"/>
      <c r="B28" s="14"/>
      <c r="C28" s="118"/>
      <c r="D28" s="118"/>
      <c r="E28" s="118"/>
      <c r="F28" s="109">
        <f>IF(F27="","",IF(AND(F27&gt;=7.875,F27&lt;=7.88),"Correct!","Try again!"))</f>
      </c>
      <c r="G28" s="109">
        <f>IF(G27="","",IF(AND(G27&gt;=8.61,G27&lt;=8.615),"Correct!","Try again!"))</f>
      </c>
      <c r="H28" s="8"/>
    </row>
    <row r="29" spans="1:8" ht="12.75" customHeight="1">
      <c r="A29" s="95"/>
      <c r="B29" s="14" t="s">
        <v>27</v>
      </c>
      <c r="C29" s="118" t="s">
        <v>40</v>
      </c>
      <c r="D29" s="118"/>
      <c r="E29" s="118"/>
      <c r="F29" s="33"/>
      <c r="G29" s="34"/>
      <c r="H29" s="8"/>
    </row>
    <row r="30" spans="1:8" ht="12.75" customHeight="1">
      <c r="A30" s="95"/>
      <c r="B30" s="14"/>
      <c r="C30" s="118"/>
      <c r="D30" s="118"/>
      <c r="E30" s="118"/>
      <c r="F30" s="109">
        <f>IF(F29="","",IF(AND(F29&gt;=2,F29&lt;=2.05),"Correct!","Try again!"))</f>
      </c>
      <c r="G30" s="109">
        <f>IF(G29="","",IF(AND(G29&gt;=2,G29&lt;=2.05),"Correct!","Try again!"))</f>
      </c>
      <c r="H30" s="8"/>
    </row>
    <row r="31" spans="1:8" ht="12.75" customHeight="1">
      <c r="A31" s="95"/>
      <c r="B31" s="14" t="s">
        <v>30</v>
      </c>
      <c r="C31" s="118" t="s">
        <v>9</v>
      </c>
      <c r="D31" s="118"/>
      <c r="E31" s="118"/>
      <c r="F31" s="25"/>
      <c r="G31" s="26"/>
      <c r="H31" s="8"/>
    </row>
    <row r="32" spans="1:8" ht="12.75" customHeight="1">
      <c r="A32" s="95"/>
      <c r="B32" s="14"/>
      <c r="C32" s="118"/>
      <c r="D32" s="118"/>
      <c r="E32" s="118"/>
      <c r="F32" s="109">
        <f>IF(F31="","",IF(AND(F31&gt;=0.1391,F31&lt;=0.13915),"Correct!","Try again!"))</f>
      </c>
      <c r="G32" s="109">
        <f>IF(G31="","",IF(AND(G31&gt;=0.15615,G31&lt;=0.1562),"Correct!","Try again!"))</f>
      </c>
      <c r="H32" s="8"/>
    </row>
    <row r="33" spans="1:8" ht="12.75" customHeight="1">
      <c r="A33" s="95"/>
      <c r="B33" s="14" t="s">
        <v>33</v>
      </c>
      <c r="C33" s="118" t="s">
        <v>41</v>
      </c>
      <c r="D33" s="118"/>
      <c r="E33" s="118"/>
      <c r="F33" s="27"/>
      <c r="G33" s="24"/>
      <c r="H33" s="8"/>
    </row>
    <row r="34" spans="1:8" ht="12.75" customHeight="1">
      <c r="A34" s="95"/>
      <c r="B34" s="14"/>
      <c r="C34" s="118"/>
      <c r="D34" s="118"/>
      <c r="E34" s="118"/>
      <c r="F34" s="109">
        <f>IF(F33="","",IF(AND(F33&gt;=0.42,F33&lt;=0.425),"Correct!","Try again!"))</f>
      </c>
      <c r="G34" s="109">
        <f>IF(G33="","",IF(AND(G33&gt;=0.405,G33&lt;=0.41),"Correct!","Try again!"))</f>
      </c>
      <c r="H34" s="8"/>
    </row>
    <row r="35" spans="1:8" ht="12.75" customHeight="1">
      <c r="A35" s="95"/>
      <c r="B35" s="14" t="s">
        <v>34</v>
      </c>
      <c r="C35" s="118" t="s">
        <v>11</v>
      </c>
      <c r="D35" s="118"/>
      <c r="E35" s="118"/>
      <c r="F35" s="25"/>
      <c r="G35" s="26"/>
      <c r="H35" s="8"/>
    </row>
    <row r="36" spans="1:8" ht="12.75" customHeight="1">
      <c r="A36" s="95"/>
      <c r="B36" s="14"/>
      <c r="C36" s="118"/>
      <c r="D36" s="118"/>
      <c r="E36" s="118"/>
      <c r="F36" s="109">
        <f>IF(F35="","",IF(AND(F35&gt;=0.0586,F35&lt;=0.05865),"Correct!","Try again!"))</f>
      </c>
      <c r="G36" s="109">
        <f>IF(G35="","",IF(AND(G35&gt;=0.06355,G35&lt;=0.0636),"Correct!","Try again!"))</f>
      </c>
      <c r="H36" s="8"/>
    </row>
    <row r="37" spans="1:8" ht="12.75" customHeight="1">
      <c r="A37" s="95"/>
      <c r="B37" s="14" t="s">
        <v>42</v>
      </c>
      <c r="C37" s="118" t="s">
        <v>12</v>
      </c>
      <c r="D37" s="118"/>
      <c r="E37" s="118"/>
      <c r="F37" s="18"/>
      <c r="G37" s="19"/>
      <c r="H37" s="8"/>
    </row>
    <row r="38" spans="1:8" ht="12.75" customHeight="1">
      <c r="A38" s="95"/>
      <c r="B38" s="8"/>
      <c r="C38" s="118"/>
      <c r="D38" s="118"/>
      <c r="E38" s="118"/>
      <c r="F38" s="109">
        <f>IF(F37="","",IF(AND(F37&gt;=0.114,F37&lt;=0.1145),"Correct!","Try again!"))</f>
      </c>
      <c r="G38" s="109">
        <f>IF(G37="","",IF(AND(G37&gt;=0.122,G37&lt;=0.1225),"Correct!","Try again!"))</f>
      </c>
      <c r="H38" s="8"/>
    </row>
    <row r="39" spans="1:8" ht="12.75" customHeight="1">
      <c r="A39" s="95"/>
      <c r="B39" s="14" t="s">
        <v>43</v>
      </c>
      <c r="C39" s="118" t="s">
        <v>4</v>
      </c>
      <c r="D39" s="118"/>
      <c r="E39" s="118"/>
      <c r="F39" s="20"/>
      <c r="G39" s="23"/>
      <c r="H39" s="8"/>
    </row>
    <row r="40" spans="1:8" ht="12.75" customHeight="1">
      <c r="A40" s="95"/>
      <c r="B40" s="8"/>
      <c r="C40" s="118"/>
      <c r="D40" s="118"/>
      <c r="E40" s="118"/>
      <c r="F40" s="16">
        <f>IF(F39="","",IF(F39=2.88,"Correct!","Try again!"))</f>
      </c>
      <c r="G40" s="16">
        <f>IF(G39="","",IF(G39=2.96,"Correct!","Try again!"))</f>
      </c>
      <c r="H40" s="8"/>
    </row>
    <row r="41" spans="1:8" ht="12.75" customHeight="1">
      <c r="A41" s="95"/>
      <c r="B41" s="14" t="s">
        <v>44</v>
      </c>
      <c r="C41" s="118" t="s">
        <v>16</v>
      </c>
      <c r="D41" s="118"/>
      <c r="E41" s="118"/>
      <c r="F41" s="20"/>
      <c r="G41" s="23"/>
      <c r="H41" s="8"/>
    </row>
    <row r="42" spans="1:8" ht="12.75" customHeight="1">
      <c r="A42" s="95"/>
      <c r="B42" s="8"/>
      <c r="C42" s="118"/>
      <c r="D42" s="118"/>
      <c r="E42" s="118"/>
      <c r="F42" s="16">
        <f>IF(F41="","",IF(F41=21.22,"Correct!","Try again!"))</f>
      </c>
      <c r="G42" s="16">
        <f>IF(G41="","",IF(G41=18.8,"Correct!","Try again!"))</f>
      </c>
      <c r="H42" s="8"/>
    </row>
    <row r="43" spans="1:8" ht="12.75" customHeight="1">
      <c r="A43" s="95"/>
      <c r="B43" s="14" t="s">
        <v>45</v>
      </c>
      <c r="C43" s="118" t="s">
        <v>13</v>
      </c>
      <c r="D43" s="118"/>
      <c r="E43" s="118"/>
      <c r="F43" s="63"/>
      <c r="G43" s="64"/>
      <c r="H43" s="8"/>
    </row>
    <row r="44" spans="1:8" ht="12.75" customHeight="1">
      <c r="A44" s="95"/>
      <c r="B44" s="8"/>
      <c r="C44" s="118"/>
      <c r="D44" s="118"/>
      <c r="E44" s="118"/>
      <c r="F44" s="109">
        <f>IF(F43="","",IF(AND(F43&gt;=4.3,F43&lt;=4.35),"Correct!","Try again!"))</f>
      </c>
      <c r="G44" s="109">
        <f>IF(G43="","",IF(AND(G43&gt;=3.95,G43&lt;=4),"Correct!","Try again!"))</f>
      </c>
      <c r="H44" s="8"/>
    </row>
    <row r="45" spans="1:8" ht="12.75" customHeight="1">
      <c r="A45" s="95"/>
      <c r="B45" s="14" t="s">
        <v>46</v>
      </c>
      <c r="C45" s="118" t="s">
        <v>47</v>
      </c>
      <c r="D45" s="118"/>
      <c r="E45" s="118"/>
      <c r="F45" s="18"/>
      <c r="G45" s="19"/>
      <c r="H45" s="8"/>
    </row>
    <row r="46" spans="1:8" ht="12.75" customHeight="1">
      <c r="A46" s="95"/>
      <c r="B46" s="15"/>
      <c r="C46" s="15"/>
      <c r="D46" s="15"/>
      <c r="E46" s="15"/>
      <c r="F46" s="109">
        <f>IF(F45="","",IF(AND(F45&gt;=0.0365,F45&lt;=0.037),"Correct!","Try again!"))</f>
      </c>
      <c r="G46" s="109">
        <f>IF(G45="","",IF(AND(G45&gt;=0.039,G45&lt;=0.0395),"Correct!","Try again!"))</f>
      </c>
      <c r="H46" s="8"/>
    </row>
  </sheetData>
  <sheetProtection password="C150" sheet="1" objects="1" scenarios="1" selectLockedCells="1"/>
  <mergeCells count="44">
    <mergeCell ref="C44:E44"/>
    <mergeCell ref="C45:E45"/>
    <mergeCell ref="C36:E36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42:E42"/>
    <mergeCell ref="C43:E43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5:G5"/>
    <mergeCell ref="D3:E3"/>
    <mergeCell ref="D2:E2"/>
    <mergeCell ref="D1:E1"/>
    <mergeCell ref="C6:E6"/>
    <mergeCell ref="C7:E7"/>
  </mergeCells>
  <printOptions horizontalCentered="1"/>
  <pageMargins left="0.25" right="0.25" top="0.69" bottom="0.62" header="0.4" footer="0"/>
  <pageSetup horizontalDpi="300" verticalDpi="300" orientation="portrait" scale="12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7" width="12.7109375" style="0" customWidth="1"/>
    <col min="8" max="8" width="2.7109375" style="0" customWidth="1"/>
    <col min="9" max="23" width="12.7109375" style="0" customWidth="1"/>
  </cols>
  <sheetData>
    <row r="1" spans="1:7" ht="12.75">
      <c r="A1" s="120" t="s">
        <v>75</v>
      </c>
      <c r="B1" s="121"/>
      <c r="C1" s="121"/>
      <c r="D1" s="4"/>
      <c r="E1" s="4"/>
      <c r="G1" s="4"/>
    </row>
    <row r="2" spans="6:7" ht="12.75">
      <c r="F2" s="4"/>
      <c r="G2" s="4"/>
    </row>
    <row r="3" spans="1:8" ht="12.75">
      <c r="A3" s="95"/>
      <c r="B3" s="112" t="s">
        <v>79</v>
      </c>
      <c r="C3" s="112"/>
      <c r="D3" s="112"/>
      <c r="E3" s="112"/>
      <c r="F3" s="112"/>
      <c r="G3" s="112"/>
      <c r="H3" s="15"/>
    </row>
    <row r="4" spans="1:8" ht="12.75">
      <c r="A4" s="95"/>
      <c r="B4" s="112" t="s">
        <v>36</v>
      </c>
      <c r="C4" s="112"/>
      <c r="D4" s="112"/>
      <c r="E4" s="112"/>
      <c r="F4" s="112"/>
      <c r="G4" s="112"/>
      <c r="H4" s="15"/>
    </row>
    <row r="5" spans="1:8" ht="12.75">
      <c r="A5" s="95"/>
      <c r="B5" s="112" t="s">
        <v>37</v>
      </c>
      <c r="C5" s="112"/>
      <c r="D5" s="112"/>
      <c r="E5" s="112"/>
      <c r="F5" s="112"/>
      <c r="G5" s="112"/>
      <c r="H5" s="15"/>
    </row>
    <row r="6" spans="1:8" ht="12.75">
      <c r="A6" s="95"/>
      <c r="B6" s="113"/>
      <c r="C6" s="113"/>
      <c r="D6" s="113"/>
      <c r="E6" s="113"/>
      <c r="F6" s="5"/>
      <c r="G6" s="5"/>
      <c r="H6" s="15"/>
    </row>
    <row r="7" spans="1:8" ht="12.75">
      <c r="A7" s="95"/>
      <c r="B7" s="113"/>
      <c r="C7" s="122"/>
      <c r="D7" s="122"/>
      <c r="E7" s="122"/>
      <c r="F7" s="28">
        <v>2015</v>
      </c>
      <c r="G7" s="29">
        <v>2014</v>
      </c>
      <c r="H7" s="15"/>
    </row>
    <row r="8" spans="1:8" ht="12.75">
      <c r="A8" s="95"/>
      <c r="B8" s="117" t="s">
        <v>17</v>
      </c>
      <c r="C8" s="117"/>
      <c r="D8" s="117"/>
      <c r="E8" s="117"/>
      <c r="F8" s="8"/>
      <c r="G8" s="8"/>
      <c r="H8" s="15"/>
    </row>
    <row r="9" spans="1:8" ht="12.75">
      <c r="A9" s="95"/>
      <c r="B9" s="118" t="s">
        <v>85</v>
      </c>
      <c r="C9" s="113"/>
      <c r="D9" s="113"/>
      <c r="E9" s="113"/>
      <c r="F9" s="8"/>
      <c r="G9" s="8"/>
      <c r="H9" s="15"/>
    </row>
    <row r="10" spans="1:8" ht="12.75">
      <c r="A10" s="95"/>
      <c r="B10" s="113" t="s">
        <v>19</v>
      </c>
      <c r="C10" s="113"/>
      <c r="D10" s="113"/>
      <c r="E10" s="113"/>
      <c r="F10" s="35">
        <v>16000</v>
      </c>
      <c r="G10" s="35">
        <v>12000</v>
      </c>
      <c r="H10" s="15"/>
    </row>
    <row r="11" spans="1:8" ht="12.75">
      <c r="A11" s="95"/>
      <c r="B11" s="118" t="s">
        <v>86</v>
      </c>
      <c r="C11" s="113"/>
      <c r="D11" s="113"/>
      <c r="E11" s="113"/>
      <c r="F11" s="36">
        <v>20000</v>
      </c>
      <c r="G11" s="36">
        <v>6000</v>
      </c>
      <c r="H11" s="15"/>
    </row>
    <row r="12" spans="1:8" ht="12.75">
      <c r="A12" s="95"/>
      <c r="B12" s="118" t="s">
        <v>87</v>
      </c>
      <c r="C12" s="113"/>
      <c r="D12" s="113"/>
      <c r="E12" s="113"/>
      <c r="F12" s="36">
        <v>54000</v>
      </c>
      <c r="G12" s="36">
        <v>46000</v>
      </c>
      <c r="H12" s="15"/>
    </row>
    <row r="13" spans="1:8" ht="12.75">
      <c r="A13" s="95"/>
      <c r="B13" s="113" t="s">
        <v>22</v>
      </c>
      <c r="C13" s="113"/>
      <c r="D13" s="113"/>
      <c r="E13" s="113"/>
      <c r="F13" s="36">
        <v>135000</v>
      </c>
      <c r="G13" s="36">
        <v>143000</v>
      </c>
      <c r="H13" s="15"/>
    </row>
    <row r="14" spans="1:8" ht="12.75">
      <c r="A14" s="95"/>
      <c r="B14" s="118" t="s">
        <v>88</v>
      </c>
      <c r="C14" s="113"/>
      <c r="D14" s="113"/>
      <c r="E14" s="113"/>
      <c r="F14" s="40">
        <v>25000</v>
      </c>
      <c r="G14" s="40">
        <v>10000</v>
      </c>
      <c r="H14" s="15"/>
    </row>
    <row r="15" spans="1:8" ht="13.5" thickBot="1">
      <c r="A15" s="95"/>
      <c r="B15" s="118" t="s">
        <v>89</v>
      </c>
      <c r="C15" s="113"/>
      <c r="D15" s="113"/>
      <c r="E15" s="113"/>
      <c r="F15" s="42">
        <f>SUM(F10:F14)</f>
        <v>250000</v>
      </c>
      <c r="G15" s="42">
        <f>SUM(G10:G14)</f>
        <v>217000</v>
      </c>
      <c r="H15" s="15"/>
    </row>
    <row r="16" spans="1:8" ht="13.5" thickTop="1">
      <c r="A16" s="95"/>
      <c r="B16" s="118" t="s">
        <v>80</v>
      </c>
      <c r="C16" s="113"/>
      <c r="D16" s="113"/>
      <c r="E16" s="113"/>
      <c r="F16" s="39">
        <v>27000</v>
      </c>
      <c r="G16" s="39">
        <v>20000</v>
      </c>
      <c r="H16" s="15"/>
    </row>
    <row r="17" spans="1:8" ht="12.75">
      <c r="A17" s="95"/>
      <c r="B17" s="118" t="s">
        <v>81</v>
      </c>
      <c r="C17" s="113"/>
      <c r="D17" s="113"/>
      <c r="E17" s="113"/>
      <c r="F17" s="36">
        <v>270000</v>
      </c>
      <c r="G17" s="44">
        <v>255000</v>
      </c>
      <c r="H17" s="15"/>
    </row>
    <row r="18" spans="1:8" ht="12.75">
      <c r="A18" s="95"/>
      <c r="B18" s="118" t="s">
        <v>82</v>
      </c>
      <c r="C18" s="113"/>
      <c r="D18" s="113"/>
      <c r="E18" s="113"/>
      <c r="F18" s="40">
        <v>29000</v>
      </c>
      <c r="G18" s="45">
        <v>24000</v>
      </c>
      <c r="H18" s="15"/>
    </row>
    <row r="19" spans="1:8" ht="13.5" thickBot="1">
      <c r="A19" s="95"/>
      <c r="B19" s="118" t="s">
        <v>90</v>
      </c>
      <c r="C19" s="113"/>
      <c r="D19" s="113"/>
      <c r="E19" s="113"/>
      <c r="F19" s="49">
        <f>SUM(F15:F18)</f>
        <v>576000</v>
      </c>
      <c r="G19" s="49">
        <f>SUM(G15:G18)</f>
        <v>516000</v>
      </c>
      <c r="H19" s="15"/>
    </row>
    <row r="20" spans="1:8" ht="13.5" thickTop="1">
      <c r="A20" s="95"/>
      <c r="B20" s="113"/>
      <c r="C20" s="113"/>
      <c r="D20" s="113"/>
      <c r="E20" s="113"/>
      <c r="F20" s="10"/>
      <c r="G20" s="17"/>
      <c r="H20" s="15"/>
    </row>
    <row r="21" spans="1:8" ht="12.75">
      <c r="A21" s="95"/>
      <c r="B21" s="117" t="s">
        <v>69</v>
      </c>
      <c r="C21" s="117"/>
      <c r="D21" s="117"/>
      <c r="E21" s="117"/>
      <c r="F21" s="17"/>
      <c r="G21" s="17"/>
      <c r="H21" s="15"/>
    </row>
    <row r="22" spans="1:8" ht="12.75">
      <c r="A22" s="95"/>
      <c r="B22" s="113" t="s">
        <v>71</v>
      </c>
      <c r="C22" s="113"/>
      <c r="D22" s="113"/>
      <c r="E22" s="113"/>
      <c r="F22" s="17"/>
      <c r="G22" s="17"/>
      <c r="H22" s="15"/>
    </row>
    <row r="23" spans="1:8" ht="12.75">
      <c r="A23" s="95"/>
      <c r="B23" s="118" t="s">
        <v>91</v>
      </c>
      <c r="C23" s="113"/>
      <c r="D23" s="113"/>
      <c r="E23" s="113"/>
      <c r="F23" s="15"/>
      <c r="G23" s="15"/>
      <c r="H23" s="15"/>
    </row>
    <row r="24" spans="1:8" ht="12.75">
      <c r="A24" s="95"/>
      <c r="B24" s="118" t="s">
        <v>92</v>
      </c>
      <c r="C24" s="113"/>
      <c r="D24" s="113"/>
      <c r="E24" s="113"/>
      <c r="F24" s="48">
        <v>17000</v>
      </c>
      <c r="G24" s="48">
        <v>6000</v>
      </c>
      <c r="H24" s="15"/>
    </row>
    <row r="25" spans="1:8" ht="12.75">
      <c r="A25" s="95"/>
      <c r="B25" s="118" t="s">
        <v>93</v>
      </c>
      <c r="C25" s="113"/>
      <c r="D25" s="113"/>
      <c r="E25" s="113"/>
      <c r="F25" s="44">
        <v>113800</v>
      </c>
      <c r="G25" s="44">
        <v>100000</v>
      </c>
      <c r="H25" s="15"/>
    </row>
    <row r="26" spans="1:8" ht="12.75">
      <c r="A26" s="95"/>
      <c r="B26" s="118" t="s">
        <v>94</v>
      </c>
      <c r="C26" s="113"/>
      <c r="D26" s="113"/>
      <c r="E26" s="113"/>
      <c r="F26" s="45">
        <v>21000</v>
      </c>
      <c r="G26" s="45">
        <v>15000</v>
      </c>
      <c r="H26" s="15"/>
    </row>
    <row r="27" spans="1:8" ht="12.75">
      <c r="A27" s="95"/>
      <c r="B27" s="118" t="s">
        <v>95</v>
      </c>
      <c r="C27" s="113"/>
      <c r="D27" s="113"/>
      <c r="E27" s="113"/>
      <c r="F27" s="55">
        <f>SUM(F24:F26)</f>
        <v>151800</v>
      </c>
      <c r="G27" s="55">
        <f>SUM(G24:G26)</f>
        <v>121000</v>
      </c>
      <c r="H27" s="15"/>
    </row>
    <row r="28" spans="1:8" ht="12.75">
      <c r="A28" s="95"/>
      <c r="B28" s="118" t="s">
        <v>96</v>
      </c>
      <c r="C28" s="113"/>
      <c r="D28" s="113"/>
      <c r="E28" s="113"/>
      <c r="F28" s="54"/>
      <c r="G28" s="54"/>
      <c r="H28" s="15"/>
    </row>
    <row r="29" spans="1:8" ht="12.75">
      <c r="A29" s="95"/>
      <c r="B29" s="118" t="s">
        <v>97</v>
      </c>
      <c r="C29" s="113"/>
      <c r="D29" s="113"/>
      <c r="E29" s="113"/>
      <c r="F29" s="46">
        <v>100000</v>
      </c>
      <c r="G29" s="46">
        <v>100000</v>
      </c>
      <c r="H29" s="15"/>
    </row>
    <row r="30" spans="1:8" ht="12.75">
      <c r="A30" s="95"/>
      <c r="B30" s="113" t="s">
        <v>32</v>
      </c>
      <c r="C30" s="113"/>
      <c r="D30" s="113"/>
      <c r="E30" s="113"/>
      <c r="F30" s="45">
        <v>32000</v>
      </c>
      <c r="G30" s="45">
        <v>27000</v>
      </c>
      <c r="H30" s="15"/>
    </row>
    <row r="31" spans="1:8" ht="12.75">
      <c r="A31" s="95"/>
      <c r="B31" s="118" t="s">
        <v>98</v>
      </c>
      <c r="C31" s="113"/>
      <c r="D31" s="113"/>
      <c r="E31" s="113"/>
      <c r="F31" s="55">
        <f>SUM(F29:F30)</f>
        <v>132000</v>
      </c>
      <c r="G31" s="55">
        <f>SUM(G29:G30)</f>
        <v>127000</v>
      </c>
      <c r="H31" s="15"/>
    </row>
    <row r="32" spans="1:8" ht="13.5" thickBot="1">
      <c r="A32" s="95"/>
      <c r="B32" s="118" t="s">
        <v>99</v>
      </c>
      <c r="C32" s="113"/>
      <c r="D32" s="113"/>
      <c r="E32" s="113"/>
      <c r="F32" s="42">
        <f>F27+F31</f>
        <v>283800</v>
      </c>
      <c r="G32" s="42">
        <f>G27+G31</f>
        <v>248000</v>
      </c>
      <c r="H32" s="15"/>
    </row>
    <row r="33" spans="1:8" ht="13.5" thickTop="1">
      <c r="A33" s="95"/>
      <c r="B33" s="113"/>
      <c r="C33" s="113"/>
      <c r="D33" s="113"/>
      <c r="E33" s="113"/>
      <c r="F33" s="17"/>
      <c r="G33" s="17"/>
      <c r="H33" s="15"/>
    </row>
    <row r="34" spans="1:8" ht="12.75">
      <c r="A34" s="95"/>
      <c r="B34" s="118" t="s">
        <v>100</v>
      </c>
      <c r="C34" s="113"/>
      <c r="D34" s="113"/>
      <c r="E34" s="113"/>
      <c r="F34" s="17"/>
      <c r="G34" s="17"/>
      <c r="H34" s="15"/>
    </row>
    <row r="35" spans="1:8" ht="12.75">
      <c r="A35" s="95"/>
      <c r="B35" s="118" t="s">
        <v>101</v>
      </c>
      <c r="C35" s="113"/>
      <c r="D35" s="113"/>
      <c r="E35" s="113"/>
      <c r="F35" s="46"/>
      <c r="G35" s="46"/>
      <c r="H35" s="15"/>
    </row>
    <row r="36" spans="1:8" ht="12.75">
      <c r="A36" s="95"/>
      <c r="B36" s="113" t="s">
        <v>72</v>
      </c>
      <c r="C36" s="113"/>
      <c r="D36" s="113"/>
      <c r="E36" s="113"/>
      <c r="F36" s="44"/>
      <c r="G36" s="44"/>
      <c r="H36" s="15"/>
    </row>
    <row r="37" spans="1:8" ht="12.75">
      <c r="A37" s="95"/>
      <c r="B37" s="118" t="s">
        <v>83</v>
      </c>
      <c r="C37" s="113"/>
      <c r="D37" s="113"/>
      <c r="E37" s="113"/>
      <c r="F37" s="46">
        <v>80000</v>
      </c>
      <c r="G37" s="46">
        <v>80000</v>
      </c>
      <c r="H37" s="15"/>
    </row>
    <row r="38" spans="1:8" ht="12.75">
      <c r="A38" s="95"/>
      <c r="B38" s="118" t="s">
        <v>102</v>
      </c>
      <c r="C38" s="113"/>
      <c r="D38" s="113"/>
      <c r="E38" s="113"/>
      <c r="F38" s="44"/>
      <c r="G38" s="44"/>
      <c r="H38" s="15"/>
    </row>
    <row r="39" spans="1:8" ht="12.75">
      <c r="A39" s="95"/>
      <c r="B39" s="118" t="s">
        <v>84</v>
      </c>
      <c r="C39" s="113"/>
      <c r="D39" s="113"/>
      <c r="E39" s="113"/>
      <c r="F39" s="44">
        <v>80000</v>
      </c>
      <c r="G39" s="44">
        <v>80000</v>
      </c>
      <c r="H39" s="15"/>
    </row>
    <row r="40" spans="1:8" ht="12.75">
      <c r="A40" s="95"/>
      <c r="B40" s="118" t="s">
        <v>103</v>
      </c>
      <c r="C40" s="113"/>
      <c r="D40" s="113"/>
      <c r="E40" s="113"/>
      <c r="F40" s="45">
        <v>132200</v>
      </c>
      <c r="G40" s="45">
        <v>108000</v>
      </c>
      <c r="H40" s="15"/>
    </row>
    <row r="41" spans="1:8" ht="12.75">
      <c r="A41" s="95"/>
      <c r="B41" s="118" t="s">
        <v>104</v>
      </c>
      <c r="C41" s="113"/>
      <c r="D41" s="113"/>
      <c r="E41" s="113"/>
      <c r="F41" s="55">
        <f>SUM(F35:F40)</f>
        <v>292200</v>
      </c>
      <c r="G41" s="55">
        <f>SUM(G35:G40)</f>
        <v>268000</v>
      </c>
      <c r="H41" s="15"/>
    </row>
    <row r="42" spans="1:8" ht="13.5" thickBot="1">
      <c r="A42" s="95"/>
      <c r="B42" s="118" t="s">
        <v>70</v>
      </c>
      <c r="C42" s="113"/>
      <c r="D42" s="113"/>
      <c r="E42" s="113"/>
      <c r="F42" s="47">
        <f>F32+F41</f>
        <v>576000</v>
      </c>
      <c r="G42" s="47">
        <f>G32+G41</f>
        <v>516000</v>
      </c>
      <c r="H42" s="15"/>
    </row>
    <row r="43" spans="1:8" ht="13.5" thickTop="1">
      <c r="A43" s="95"/>
      <c r="B43" s="113"/>
      <c r="C43" s="113"/>
      <c r="D43" s="113"/>
      <c r="E43" s="113"/>
      <c r="F43" s="15"/>
      <c r="G43" s="15"/>
      <c r="H43" s="15"/>
    </row>
    <row r="44" spans="1:8" ht="12.75">
      <c r="A44" s="95"/>
      <c r="B44" s="113"/>
      <c r="C44" s="113"/>
      <c r="D44" s="113"/>
      <c r="E44" s="113"/>
      <c r="F44" s="15"/>
      <c r="G44" s="15"/>
      <c r="H44" s="15"/>
    </row>
    <row r="45" spans="1:8" ht="12.75">
      <c r="A45" s="95"/>
      <c r="B45" s="112" t="s">
        <v>79</v>
      </c>
      <c r="C45" s="112"/>
      <c r="D45" s="112"/>
      <c r="E45" s="112"/>
      <c r="F45" s="112"/>
      <c r="G45" s="112"/>
      <c r="H45" s="15"/>
    </row>
    <row r="46" spans="1:8" ht="12.75">
      <c r="A46" s="95"/>
      <c r="B46" s="112" t="s">
        <v>48</v>
      </c>
      <c r="C46" s="112"/>
      <c r="D46" s="112"/>
      <c r="E46" s="112"/>
      <c r="F46" s="112"/>
      <c r="G46" s="112"/>
      <c r="H46" s="15"/>
    </row>
    <row r="47" spans="1:8" ht="12.75">
      <c r="A47" s="95"/>
      <c r="B47" s="112" t="s">
        <v>49</v>
      </c>
      <c r="C47" s="112"/>
      <c r="D47" s="112"/>
      <c r="E47" s="112"/>
      <c r="F47" s="112"/>
      <c r="G47" s="112"/>
      <c r="H47" s="15"/>
    </row>
    <row r="48" spans="1:8" ht="12.75">
      <c r="A48" s="95"/>
      <c r="B48" s="113"/>
      <c r="C48" s="119"/>
      <c r="D48" s="119"/>
      <c r="E48" s="119"/>
      <c r="F48" s="7"/>
      <c r="G48" s="7"/>
      <c r="H48" s="15"/>
    </row>
    <row r="49" spans="1:8" ht="12.75">
      <c r="A49" s="95"/>
      <c r="B49" s="113"/>
      <c r="C49" s="113"/>
      <c r="D49" s="113"/>
      <c r="E49" s="113"/>
      <c r="F49" s="28">
        <v>2015</v>
      </c>
      <c r="G49" s="29">
        <v>2014</v>
      </c>
      <c r="H49" s="15"/>
    </row>
    <row r="50" spans="1:8" ht="12.75">
      <c r="A50" s="95"/>
      <c r="B50" s="113" t="s">
        <v>73</v>
      </c>
      <c r="C50" s="113"/>
      <c r="D50" s="113"/>
      <c r="E50" s="113"/>
      <c r="F50" s="10"/>
      <c r="G50" s="10"/>
      <c r="H50" s="15"/>
    </row>
    <row r="51" spans="1:8" ht="12.75">
      <c r="A51" s="95"/>
      <c r="B51" s="113" t="s">
        <v>50</v>
      </c>
      <c r="C51" s="113"/>
      <c r="D51" s="113"/>
      <c r="E51" s="113"/>
      <c r="F51" s="35">
        <v>230000</v>
      </c>
      <c r="G51" s="35">
        <v>210000</v>
      </c>
      <c r="H51" s="15"/>
    </row>
    <row r="52" spans="1:8" ht="12.75">
      <c r="A52" s="95"/>
      <c r="B52" s="118" t="s">
        <v>105</v>
      </c>
      <c r="C52" s="113"/>
      <c r="D52" s="113"/>
      <c r="E52" s="113"/>
      <c r="F52" s="40">
        <v>8000</v>
      </c>
      <c r="G52" s="40">
        <v>5000</v>
      </c>
      <c r="H52" s="15"/>
    </row>
    <row r="53" spans="1:8" ht="12.75">
      <c r="A53" s="95"/>
      <c r="B53" s="118" t="s">
        <v>106</v>
      </c>
      <c r="C53" s="113"/>
      <c r="D53" s="113"/>
      <c r="E53" s="113"/>
      <c r="F53" s="55">
        <f>SUM(F51:F52)</f>
        <v>238000</v>
      </c>
      <c r="G53" s="55">
        <f>SUM(G51:G52)</f>
        <v>215000</v>
      </c>
      <c r="H53" s="15"/>
    </row>
    <row r="54" spans="1:8" ht="12.75">
      <c r="A54" s="95"/>
      <c r="B54" s="113" t="s">
        <v>74</v>
      </c>
      <c r="C54" s="113"/>
      <c r="D54" s="113"/>
      <c r="E54" s="113"/>
      <c r="F54" s="10"/>
      <c r="G54" s="10"/>
      <c r="H54" s="15"/>
    </row>
    <row r="55" spans="1:8" ht="12.75">
      <c r="A55" s="95"/>
      <c r="B55" s="118" t="s">
        <v>107</v>
      </c>
      <c r="C55" s="113"/>
      <c r="D55" s="113"/>
      <c r="E55" s="113"/>
      <c r="F55" s="39">
        <v>120000</v>
      </c>
      <c r="G55" s="39">
        <v>103000</v>
      </c>
      <c r="H55" s="15"/>
    </row>
    <row r="56" spans="1:8" ht="12.75">
      <c r="A56" s="95"/>
      <c r="B56" s="118" t="s">
        <v>108</v>
      </c>
      <c r="C56" s="113"/>
      <c r="D56" s="113"/>
      <c r="E56" s="113"/>
      <c r="F56" s="36">
        <v>55000</v>
      </c>
      <c r="G56" s="36">
        <v>50000</v>
      </c>
      <c r="H56" s="15"/>
    </row>
    <row r="57" spans="1:8" ht="12.75">
      <c r="A57" s="95"/>
      <c r="B57" s="118" t="s">
        <v>109</v>
      </c>
      <c r="C57" s="113"/>
      <c r="D57" s="113"/>
      <c r="E57" s="113"/>
      <c r="F57" s="36">
        <v>8000</v>
      </c>
      <c r="G57" s="36">
        <v>7200</v>
      </c>
      <c r="H57" s="15"/>
    </row>
    <row r="58" spans="1:8" ht="12.75">
      <c r="A58" s="95"/>
      <c r="B58" s="118" t="s">
        <v>110</v>
      </c>
      <c r="C58" s="113"/>
      <c r="D58" s="113"/>
      <c r="E58" s="113"/>
      <c r="F58" s="40">
        <v>23000</v>
      </c>
      <c r="G58" s="40">
        <v>22000</v>
      </c>
      <c r="H58" s="15"/>
    </row>
    <row r="59" spans="1:8" ht="12.75">
      <c r="A59" s="95"/>
      <c r="B59" s="118" t="s">
        <v>111</v>
      </c>
      <c r="C59" s="113"/>
      <c r="D59" s="113"/>
      <c r="E59" s="113"/>
      <c r="F59" s="55">
        <f>SUM(F55:F58)</f>
        <v>206000</v>
      </c>
      <c r="G59" s="55">
        <f>SUM(G55:G58)</f>
        <v>182200</v>
      </c>
      <c r="H59" s="15"/>
    </row>
    <row r="60" spans="1:8" ht="12.75">
      <c r="A60" s="95"/>
      <c r="B60" s="118" t="s">
        <v>112</v>
      </c>
      <c r="C60" s="113"/>
      <c r="D60" s="113"/>
      <c r="E60" s="113"/>
      <c r="F60" s="39">
        <f>F53-F59</f>
        <v>32000</v>
      </c>
      <c r="G60" s="39">
        <f>G53-G59</f>
        <v>32800</v>
      </c>
      <c r="H60" s="15"/>
    </row>
    <row r="61" spans="1:8" ht="12.75">
      <c r="A61" s="95"/>
      <c r="B61" s="118" t="s">
        <v>113</v>
      </c>
      <c r="C61" s="113"/>
      <c r="D61" s="113"/>
      <c r="E61" s="113"/>
      <c r="F61" s="39">
        <v>108000</v>
      </c>
      <c r="G61" s="39">
        <v>83000</v>
      </c>
      <c r="H61" s="15"/>
    </row>
    <row r="62" spans="1:8" ht="12.75">
      <c r="A62" s="95"/>
      <c r="B62" s="118" t="s">
        <v>114</v>
      </c>
      <c r="C62" s="113"/>
      <c r="D62" s="113"/>
      <c r="E62" s="113"/>
      <c r="F62" s="36">
        <v>3200</v>
      </c>
      <c r="G62" s="36">
        <v>3200</v>
      </c>
      <c r="H62" s="15"/>
    </row>
    <row r="63" spans="1:8" ht="12.75">
      <c r="A63" s="95"/>
      <c r="B63" s="118" t="s">
        <v>115</v>
      </c>
      <c r="C63" s="113"/>
      <c r="D63" s="113"/>
      <c r="E63" s="113"/>
      <c r="F63" s="40">
        <v>4600</v>
      </c>
      <c r="G63" s="40">
        <v>4600</v>
      </c>
      <c r="H63" s="15"/>
    </row>
    <row r="64" spans="1:8" ht="13.5" thickBot="1">
      <c r="A64" s="95"/>
      <c r="B64" s="118" t="s">
        <v>116</v>
      </c>
      <c r="C64" s="113"/>
      <c r="D64" s="113"/>
      <c r="E64" s="113"/>
      <c r="F64" s="49">
        <f>F60+F61-F62-F63</f>
        <v>132200</v>
      </c>
      <c r="G64" s="49">
        <f>G60+G61-G62-G63</f>
        <v>108000</v>
      </c>
      <c r="H64" s="15"/>
    </row>
    <row r="65" spans="1:8" ht="13.5" thickTop="1">
      <c r="A65" s="95"/>
      <c r="B65" s="15"/>
      <c r="C65" s="15"/>
      <c r="D65" s="15"/>
      <c r="E65" s="15"/>
      <c r="F65" s="15"/>
      <c r="G65" s="15"/>
      <c r="H65" s="15"/>
    </row>
    <row r="66" spans="1:8" ht="12.75">
      <c r="A66" s="95"/>
      <c r="B66" s="15"/>
      <c r="C66" s="15"/>
      <c r="D66" s="15"/>
      <c r="E66" s="15"/>
      <c r="F66" s="15"/>
      <c r="G66" s="15"/>
      <c r="H66" s="15"/>
    </row>
  </sheetData>
  <sheetProtection password="C690" sheet="1" objects="1" scenarios="1" selectLockedCells="1" selectUnlockedCells="1"/>
  <mergeCells count="63"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44:E44"/>
    <mergeCell ref="B48:E48"/>
    <mergeCell ref="B49:E49"/>
    <mergeCell ref="B50:E50"/>
    <mergeCell ref="B51:E51"/>
    <mergeCell ref="B52:E52"/>
    <mergeCell ref="B47:G47"/>
    <mergeCell ref="B46:G46"/>
    <mergeCell ref="B45:G45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2:E22"/>
    <mergeCell ref="B23:E23"/>
    <mergeCell ref="B24:E24"/>
    <mergeCell ref="B25:E25"/>
    <mergeCell ref="B15:E15"/>
    <mergeCell ref="B16:E16"/>
    <mergeCell ref="B17:E17"/>
    <mergeCell ref="B18:E18"/>
    <mergeCell ref="B20:E20"/>
    <mergeCell ref="B21:E21"/>
    <mergeCell ref="B8:E8"/>
    <mergeCell ref="B12:E12"/>
    <mergeCell ref="B13:E13"/>
    <mergeCell ref="B14:E14"/>
    <mergeCell ref="B19:E19"/>
    <mergeCell ref="A1:C1"/>
    <mergeCell ref="B6:E6"/>
    <mergeCell ref="B7:E7"/>
    <mergeCell ref="B9:E9"/>
    <mergeCell ref="B10:E10"/>
    <mergeCell ref="B11:E11"/>
    <mergeCell ref="B5:G5"/>
    <mergeCell ref="B4:G4"/>
    <mergeCell ref="B3:G3"/>
  </mergeCells>
  <printOptions horizontalCentered="1"/>
  <pageMargins left="0.75" right="0.75" top="1" bottom="1" header="0.5" footer="0.5"/>
  <pageSetup horizontalDpi="300" verticalDpi="300" orientation="portrait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Poornima K</cp:lastModifiedBy>
  <cp:lastPrinted>2013-07-12T00:08:53Z</cp:lastPrinted>
  <dcterms:created xsi:type="dcterms:W3CDTF">1999-06-02T16:16:49Z</dcterms:created>
  <dcterms:modified xsi:type="dcterms:W3CDTF">2013-07-29T09:38:29Z</dcterms:modified>
  <cp:category/>
  <cp:version/>
  <cp:contentType/>
  <cp:contentStatus/>
</cp:coreProperties>
</file>