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5480" windowHeight="11040"/>
  </bookViews>
  <sheets>
    <sheet name="TABLE 10.1" sheetId="1" r:id="rId1"/>
    <sheet name="TABLE 10.2" sheetId="2" r:id="rId2"/>
    <sheet name="TABLE 10.3" sheetId="3" r:id="rId3"/>
    <sheet name="TABLES 10.4-10.5" sheetId="4" r:id="rId4"/>
  </sheets>
  <calcPr calcId="145621"/>
</workbook>
</file>

<file path=xl/calcChain.xml><?xml version="1.0" encoding="utf-8"?>
<calcChain xmlns="http://schemas.openxmlformats.org/spreadsheetml/2006/main">
  <c r="D13" i="1" l="1"/>
  <c r="D12" i="1"/>
  <c r="D16" i="1"/>
  <c r="D17" i="1" s="1"/>
  <c r="D18" i="1" s="1"/>
  <c r="D19" i="1" s="1"/>
  <c r="D21" i="1" s="1"/>
  <c r="C21" i="1"/>
  <c r="D13" i="2"/>
  <c r="D12" i="2"/>
  <c r="D11" i="2"/>
  <c r="D10" i="2"/>
  <c r="G12" i="2" s="1"/>
  <c r="K12" i="2" s="1"/>
  <c r="D9" i="2"/>
  <c r="G11" i="2"/>
  <c r="G13" i="2"/>
  <c r="H13" i="2"/>
  <c r="H12" i="2"/>
  <c r="H11" i="2"/>
  <c r="H10" i="2"/>
  <c r="H9" i="2"/>
  <c r="G9" i="2"/>
  <c r="I13" i="2"/>
  <c r="M13" i="2"/>
  <c r="I12" i="2"/>
  <c r="M12" i="2"/>
  <c r="I11" i="2"/>
  <c r="M11" i="2"/>
  <c r="I10" i="2"/>
  <c r="M10" i="2"/>
  <c r="I9" i="2"/>
  <c r="M9" i="2"/>
  <c r="K13" i="2"/>
  <c r="K11" i="2"/>
  <c r="G10" i="2"/>
  <c r="K10" i="2" s="1"/>
  <c r="K9" i="2"/>
  <c r="L13" i="2"/>
  <c r="L12" i="2"/>
  <c r="L11" i="2"/>
  <c r="L10" i="2"/>
  <c r="L9" i="2"/>
  <c r="D26" i="3"/>
  <c r="D10" i="3" s="1"/>
  <c r="D25" i="3"/>
  <c r="D24" i="3"/>
  <c r="D23" i="3"/>
  <c r="D22" i="3"/>
  <c r="D8" i="3" s="1"/>
  <c r="D12" i="3" s="1"/>
  <c r="G11" i="3"/>
  <c r="D11" i="3"/>
  <c r="G8" i="3"/>
  <c r="G12" i="3" s="1"/>
  <c r="G9" i="3"/>
  <c r="G10" i="3"/>
  <c r="D9" i="3"/>
  <c r="D10" i="4"/>
  <c r="D11" i="4"/>
  <c r="C28" i="4"/>
  <c r="D28" i="4"/>
  <c r="E28" i="4"/>
  <c r="G28" i="4" s="1"/>
  <c r="H28" i="4" s="1"/>
  <c r="I28" i="4" s="1"/>
  <c r="F28" i="4"/>
  <c r="C27" i="4"/>
  <c r="D27" i="4"/>
  <c r="E27" i="4"/>
  <c r="F27" i="4"/>
  <c r="C26" i="4"/>
  <c r="D26" i="4"/>
  <c r="E26" i="4"/>
  <c r="G26" i="4" s="1"/>
  <c r="F26" i="4"/>
  <c r="C11" i="4"/>
  <c r="H11" i="4" s="1"/>
  <c r="E11" i="4"/>
  <c r="F11" i="4"/>
  <c r="C10" i="4"/>
  <c r="H10" i="4"/>
  <c r="E10" i="4"/>
  <c r="F10" i="4"/>
  <c r="G10" i="4" s="1"/>
  <c r="I10" i="4" s="1"/>
  <c r="C9" i="4"/>
  <c r="H9" i="4" s="1"/>
  <c r="E9" i="4"/>
  <c r="F9" i="4"/>
  <c r="G9" i="4"/>
  <c r="G11" i="4" l="1"/>
  <c r="H26" i="4"/>
  <c r="I26" i="4" s="1"/>
  <c r="G27" i="4"/>
  <c r="H27" i="4" s="1"/>
  <c r="I27" i="4" s="1"/>
  <c r="I9" i="4"/>
  <c r="J9" i="4" s="1"/>
  <c r="I11" i="4"/>
  <c r="J11" i="4" s="1"/>
  <c r="G13" i="3"/>
  <c r="G14" i="3" s="1"/>
  <c r="G15" i="3" s="1"/>
  <c r="G17" i="3" s="1"/>
  <c r="G18" i="3" s="1"/>
  <c r="C23" i="1"/>
  <c r="J10" i="4"/>
  <c r="D13" i="3"/>
  <c r="D14" i="3" s="1"/>
  <c r="D15" i="3" s="1"/>
  <c r="D17" i="3" s="1"/>
  <c r="D18" i="3" s="1"/>
</calcChain>
</file>

<file path=xl/sharedStrings.xml><?xml version="1.0" encoding="utf-8"?>
<sst xmlns="http://schemas.openxmlformats.org/spreadsheetml/2006/main" count="112" uniqueCount="69">
  <si>
    <t>Investment</t>
  </si>
  <si>
    <t>Year 0</t>
  </si>
  <si>
    <t>Years 1-10</t>
  </si>
  <si>
    <t>Revenues</t>
  </si>
  <si>
    <t>Variable cost</t>
  </si>
  <si>
    <t>Fixed cost</t>
  </si>
  <si>
    <t xml:space="preserve">Depreciation </t>
  </si>
  <si>
    <t>Pretax Profit</t>
  </si>
  <si>
    <t>Tax</t>
  </si>
  <si>
    <t>Net profit</t>
  </si>
  <si>
    <t>Operating cash flow</t>
  </si>
  <si>
    <t>Net cash flow</t>
  </si>
  <si>
    <t>Revenue</t>
  </si>
  <si>
    <t>Tax rate %</t>
  </si>
  <si>
    <t>Variable</t>
  </si>
  <si>
    <t>Pessimistic</t>
  </si>
  <si>
    <t>Expected</t>
  </si>
  <si>
    <t>Optimistic</t>
  </si>
  <si>
    <t>Range</t>
  </si>
  <si>
    <t>Market share</t>
  </si>
  <si>
    <t>NPV</t>
  </si>
  <si>
    <t>Cost of capital %</t>
  </si>
  <si>
    <t xml:space="preserve">     NPV (billions of yen)</t>
  </si>
  <si>
    <t>Notes:</t>
  </si>
  <si>
    <t>Price per unit (yen)</t>
  </si>
  <si>
    <t>Operating cash flow (yen bn) =</t>
  </si>
  <si>
    <t>net income + depreciation tax shield</t>
  </si>
  <si>
    <t>Market size (million)</t>
  </si>
  <si>
    <t>Unit price (yen)</t>
  </si>
  <si>
    <t>Unit variable cost (yen)</t>
  </si>
  <si>
    <t>Fixed cost (bns of yen)</t>
  </si>
  <si>
    <t>Base Case</t>
  </si>
  <si>
    <t>PV of cash flows</t>
  </si>
  <si>
    <t>High Oil Prices and Recession Case</t>
  </si>
  <si>
    <t xml:space="preserve">     Cash Flows, Years 1- 10, billions of yen</t>
  </si>
  <si>
    <t xml:space="preserve">     Assumptions</t>
  </si>
  <si>
    <t>(figures in billions of yen excepted as noted)</t>
  </si>
  <si>
    <t>Unit Sales,</t>
  </si>
  <si>
    <t>Thousands</t>
  </si>
  <si>
    <t>Costs</t>
  </si>
  <si>
    <t>Variable costs (yen)</t>
  </si>
  <si>
    <t>Fixed</t>
  </si>
  <si>
    <t>Fixed costs (bns of yen)</t>
  </si>
  <si>
    <t>Taxes</t>
  </si>
  <si>
    <t>Depreciation</t>
  </si>
  <si>
    <t>PV</t>
  </si>
  <si>
    <t>Inflows</t>
  </si>
  <si>
    <t>Outflows</t>
  </si>
  <si>
    <t xml:space="preserve">Total </t>
  </si>
  <si>
    <t>Profit</t>
  </si>
  <si>
    <t>after Tax</t>
  </si>
  <si>
    <t>(figures in billions of yen)</t>
  </si>
  <si>
    <t>to its most pessimistic or optimistic value and recalculate the NPV of the project</t>
  </si>
  <si>
    <t>by higher oil prices and a world recession</t>
  </si>
  <si>
    <t>Market share %</t>
  </si>
  <si>
    <t>Depreciation (bns of yen)</t>
  </si>
  <si>
    <t>Unit price, yen</t>
  </si>
  <si>
    <t>Unit variable cost, yen</t>
  </si>
  <si>
    <t>Fixed cost, bns of yen</t>
  </si>
  <si>
    <t>Market size, million</t>
  </si>
  <si>
    <t xml:space="preserve">TABLE 10.1  Preliminary cash-flow forecasts </t>
  </si>
  <si>
    <t xml:space="preserve">TABLE 10.2  To undertake a sensitivity analysis of the electric scooter project, we set each variable in turn  </t>
  </si>
  <si>
    <t xml:space="preserve">TABLE 10.3  How the NPV of the electric scooter project would be affected </t>
  </si>
  <si>
    <t>TABLE 10.5  The electric scooter project's accounting profit under different assumptions about unit sales</t>
  </si>
  <si>
    <t xml:space="preserve">These worksheets reproduce the sensitivity and  </t>
  </si>
  <si>
    <t>10.  You can change any of the cells shaded green.</t>
  </si>
  <si>
    <t>TABLE 10.4  NPV of electric scooter project under different assumptions about unit sales (figures in billions of yen excepted as noted).</t>
  </si>
  <si>
    <t xml:space="preserve">scenario analyses of the Otabai scooter project in Chapter </t>
  </si>
  <si>
    <t xml:space="preserve">for Otabai's scooter project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</si>
</sst>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0.0"/>
    <numFmt numFmtId="166" formatCode="#,##0.0_ ;[Red]\-#,##0.0\ "/>
    <numFmt numFmtId="167" formatCode="#,##0.0"/>
  </numFmts>
  <fonts count="7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0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0" fillId="3" borderId="1" xfId="0" applyFill="1" applyBorder="1"/>
    <xf numFmtId="0" fontId="1" fillId="3" borderId="2" xfId="0" applyFont="1" applyFill="1" applyBorder="1"/>
    <xf numFmtId="0" fontId="3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4" borderId="0" xfId="0" applyFill="1"/>
    <xf numFmtId="0" fontId="1" fillId="4" borderId="3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0" fontId="0" fillId="3" borderId="7" xfId="0" applyFill="1" applyBorder="1"/>
    <xf numFmtId="0" fontId="0" fillId="3" borderId="0" xfId="0" applyFill="1" applyBorder="1"/>
    <xf numFmtId="0" fontId="0" fillId="3" borderId="8" xfId="0" applyFill="1" applyBorder="1"/>
    <xf numFmtId="0" fontId="1" fillId="3" borderId="7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3" fontId="0" fillId="3" borderId="0" xfId="0" applyNumberFormat="1" applyFill="1" applyBorder="1"/>
    <xf numFmtId="166" fontId="0" fillId="3" borderId="0" xfId="0" applyNumberFormat="1" applyFill="1" applyBorder="1"/>
    <xf numFmtId="0" fontId="0" fillId="3" borderId="0" xfId="0" applyFill="1" applyBorder="1" applyProtection="1"/>
    <xf numFmtId="165" fontId="0" fillId="3" borderId="0" xfId="0" applyNumberFormat="1" applyFill="1" applyBorder="1"/>
    <xf numFmtId="0" fontId="0" fillId="3" borderId="10" xfId="0" applyFill="1" applyBorder="1"/>
    <xf numFmtId="0" fontId="0" fillId="3" borderId="3" xfId="0" applyFill="1" applyBorder="1"/>
    <xf numFmtId="0" fontId="0" fillId="3" borderId="11" xfId="0" applyFill="1" applyBorder="1"/>
    <xf numFmtId="166" fontId="1" fillId="5" borderId="0" xfId="0" applyNumberFormat="1" applyFont="1" applyFill="1" applyBorder="1"/>
    <xf numFmtId="0" fontId="1" fillId="4" borderId="7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166" fontId="0" fillId="4" borderId="8" xfId="0" applyNumberFormat="1" applyFill="1" applyBorder="1"/>
    <xf numFmtId="0" fontId="0" fillId="4" borderId="10" xfId="0" applyFill="1" applyBorder="1"/>
    <xf numFmtId="0" fontId="0" fillId="4" borderId="3" xfId="0" applyFill="1" applyBorder="1"/>
    <xf numFmtId="0" fontId="0" fillId="4" borderId="11" xfId="0" applyFill="1" applyBorder="1"/>
    <xf numFmtId="164" fontId="1" fillId="5" borderId="0" xfId="0" applyNumberFormat="1" applyFont="1" applyFill="1" applyBorder="1"/>
    <xf numFmtId="0" fontId="1" fillId="4" borderId="3" xfId="0" applyFont="1" applyFill="1" applyBorder="1"/>
    <xf numFmtId="0" fontId="0" fillId="4" borderId="7" xfId="0" applyFill="1" applyBorder="1" applyAlignment="1">
      <alignment horizontal="center"/>
    </xf>
    <xf numFmtId="3" fontId="0" fillId="4" borderId="0" xfId="0" applyNumberFormat="1" applyFill="1" applyBorder="1" applyAlignment="1">
      <alignment horizontal="center"/>
    </xf>
    <xf numFmtId="167" fontId="0" fillId="4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0" fontId="0" fillId="3" borderId="0" xfId="0" applyFill="1" applyBorder="1" applyProtection="1">
      <protection locked="0"/>
    </xf>
    <xf numFmtId="165" fontId="0" fillId="3" borderId="0" xfId="0" applyNumberFormat="1" applyFill="1" applyBorder="1" applyProtection="1"/>
    <xf numFmtId="165" fontId="1" fillId="5" borderId="0" xfId="0" applyNumberFormat="1" applyFont="1" applyFill="1" applyBorder="1"/>
    <xf numFmtId="0" fontId="1" fillId="3" borderId="0" xfId="0" applyFont="1" applyFill="1" applyBorder="1"/>
    <xf numFmtId="4" fontId="0" fillId="3" borderId="0" xfId="0" applyNumberFormat="1" applyFill="1" applyBorder="1"/>
    <xf numFmtId="0" fontId="0" fillId="7" borderId="0" xfId="0" applyFill="1"/>
    <xf numFmtId="3" fontId="0" fillId="6" borderId="0" xfId="0" applyNumberFormat="1" applyFill="1" applyBorder="1" applyProtection="1">
      <protection locked="0"/>
    </xf>
    <xf numFmtId="167" fontId="0" fillId="6" borderId="0" xfId="0" applyNumberFormat="1" applyFill="1" applyBorder="1" applyProtection="1">
      <protection locked="0"/>
    </xf>
    <xf numFmtId="0" fontId="0" fillId="6" borderId="0" xfId="0" applyFill="1" applyBorder="1" applyProtection="1">
      <protection locked="0"/>
    </xf>
    <xf numFmtId="0" fontId="0" fillId="6" borderId="3" xfId="0" applyFill="1" applyBorder="1" applyProtection="1">
      <protection locked="0"/>
    </xf>
    <xf numFmtId="4" fontId="0" fillId="6" borderId="0" xfId="0" applyNumberFormat="1" applyFill="1" applyBorder="1" applyProtection="1">
      <protection locked="0"/>
    </xf>
    <xf numFmtId="0" fontId="0" fillId="7" borderId="0" xfId="0" applyFill="1" applyBorder="1"/>
    <xf numFmtId="0" fontId="6" fillId="2" borderId="0" xfId="0" applyFont="1" applyFill="1"/>
    <xf numFmtId="0" fontId="4" fillId="8" borderId="1" xfId="0" applyFont="1" applyFill="1" applyBorder="1"/>
    <xf numFmtId="0" fontId="5" fillId="8" borderId="1" xfId="0" applyFont="1" applyFill="1" applyBorder="1"/>
    <xf numFmtId="0" fontId="5" fillId="8" borderId="2" xfId="0" applyFont="1" applyFill="1" applyBorder="1"/>
    <xf numFmtId="0" fontId="0" fillId="8" borderId="0" xfId="0" applyFill="1" applyBorder="1"/>
    <xf numFmtId="0" fontId="0" fillId="8" borderId="4" xfId="0" applyFill="1" applyBorder="1"/>
    <xf numFmtId="0" fontId="0" fillId="8" borderId="5" xfId="0" applyFill="1" applyBorder="1"/>
    <xf numFmtId="0" fontId="6" fillId="8" borderId="6" xfId="0" applyFont="1" applyFill="1" applyBorder="1"/>
    <xf numFmtId="0" fontId="6" fillId="8" borderId="8" xfId="0" applyFont="1" applyFill="1" applyBorder="1"/>
    <xf numFmtId="0" fontId="2" fillId="8" borderId="7" xfId="0" applyFont="1" applyFill="1" applyBorder="1"/>
    <xf numFmtId="0" fontId="4" fillId="8" borderId="7" xfId="0" applyFont="1" applyFill="1" applyBorder="1"/>
    <xf numFmtId="0" fontId="4" fillId="8" borderId="0" xfId="0" applyFont="1" applyFill="1" applyBorder="1"/>
    <xf numFmtId="0" fontId="5" fillId="8" borderId="9" xfId="0" applyFont="1" applyFill="1" applyBorder="1" applyAlignment="1">
      <alignment horizontal="center"/>
    </xf>
    <xf numFmtId="3" fontId="0" fillId="8" borderId="0" xfId="0" applyNumberFormat="1" applyFill="1" applyBorder="1"/>
    <xf numFmtId="165" fontId="0" fillId="8" borderId="0" xfId="0" applyNumberFormat="1" applyFill="1" applyBorder="1"/>
    <xf numFmtId="165" fontId="1" fillId="8" borderId="0" xfId="0" applyNumberFormat="1" applyFont="1" applyFill="1" applyBorder="1"/>
    <xf numFmtId="4" fontId="0" fillId="8" borderId="0" xfId="0" applyNumberFormat="1" applyFill="1" applyBorder="1"/>
    <xf numFmtId="0" fontId="0" fillId="8" borderId="10" xfId="0" applyFill="1" applyBorder="1"/>
    <xf numFmtId="0" fontId="0" fillId="8" borderId="3" xfId="0" applyFill="1" applyBorder="1"/>
    <xf numFmtId="0" fontId="6" fillId="8" borderId="11" xfId="0" applyFont="1" applyFill="1" applyBorder="1"/>
    <xf numFmtId="0" fontId="6" fillId="7" borderId="0" xfId="0" applyFont="1" applyFill="1"/>
    <xf numFmtId="2" fontId="0" fillId="6" borderId="0" xfId="0" applyNumberFormat="1" applyFill="1" applyBorder="1" applyProtection="1">
      <protection locked="0"/>
    </xf>
    <xf numFmtId="0" fontId="2" fillId="3" borderId="7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1" fillId="4" borderId="4" xfId="0" applyFont="1" applyFill="1" applyBorder="1" applyAlignment="1"/>
    <xf numFmtId="0" fontId="1" fillId="4" borderId="5" xfId="0" applyFont="1" applyFill="1" applyBorder="1" applyAlignment="1"/>
    <xf numFmtId="0" fontId="1" fillId="4" borderId="6" xfId="0" applyFont="1" applyFill="1" applyBorder="1" applyAlignment="1"/>
    <xf numFmtId="0" fontId="1" fillId="4" borderId="7" xfId="0" applyFont="1" applyFill="1" applyBorder="1" applyAlignment="1"/>
    <xf numFmtId="0" fontId="1" fillId="4" borderId="0" xfId="0" applyFont="1" applyFill="1" applyBorder="1" applyAlignment="1"/>
    <xf numFmtId="0" fontId="1" fillId="4" borderId="8" xfId="0" applyFont="1" applyFill="1" applyBorder="1" applyAlignment="1"/>
    <xf numFmtId="0" fontId="5" fillId="8" borderId="1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showRowColHeaders="0" tabSelected="1" workbookViewId="0"/>
  </sheetViews>
  <sheetFormatPr defaultColWidth="9.140625" defaultRowHeight="12.75" x14ac:dyDescent="0.2"/>
  <cols>
    <col min="1" max="1" width="36.42578125" style="59" customWidth="1"/>
    <col min="2" max="2" width="17.42578125" style="59" customWidth="1"/>
    <col min="3" max="3" width="12" style="59" customWidth="1"/>
    <col min="4" max="4" width="12.28515625" style="59" customWidth="1"/>
    <col min="5" max="5" width="11.28515625" style="59" customWidth="1"/>
    <col min="6" max="16384" width="9.140625" style="59"/>
  </cols>
  <sheetData>
    <row r="1" spans="1:5" s="53" customFormat="1" ht="17.25" customHeight="1" x14ac:dyDescent="0.2">
      <c r="A1" s="1"/>
      <c r="B1" s="1"/>
      <c r="C1" s="1"/>
      <c r="D1" s="1"/>
      <c r="E1" s="1"/>
    </row>
    <row r="2" spans="1:5" s="53" customFormat="1" ht="17.25" customHeight="1" x14ac:dyDescent="0.2">
      <c r="A2" s="1"/>
      <c r="B2" s="85" t="s">
        <v>64</v>
      </c>
      <c r="C2" s="86"/>
      <c r="D2" s="86"/>
      <c r="E2" s="87"/>
    </row>
    <row r="3" spans="1:5" s="53" customFormat="1" ht="17.25" customHeight="1" x14ac:dyDescent="0.2">
      <c r="A3" s="1"/>
      <c r="B3" s="88" t="s">
        <v>67</v>
      </c>
      <c r="C3" s="89"/>
      <c r="D3" s="89"/>
      <c r="E3" s="90"/>
    </row>
    <row r="4" spans="1:5" s="53" customFormat="1" ht="17.25" customHeight="1" x14ac:dyDescent="0.2">
      <c r="A4" s="1"/>
      <c r="B4" s="88" t="s">
        <v>65</v>
      </c>
      <c r="C4" s="89"/>
      <c r="D4" s="89"/>
      <c r="E4" s="90"/>
    </row>
    <row r="5" spans="1:5" s="53" customFormat="1" ht="17.25" customHeight="1" x14ac:dyDescent="0.2">
      <c r="A5" s="1"/>
      <c r="B5" s="13"/>
      <c r="C5" s="14"/>
      <c r="D5" s="14"/>
      <c r="E5" s="15"/>
    </row>
    <row r="6" spans="1:5" s="53" customFormat="1" x14ac:dyDescent="0.2">
      <c r="A6" s="1"/>
      <c r="B6" s="82" t="s">
        <v>60</v>
      </c>
      <c r="C6" s="83"/>
      <c r="D6" s="83"/>
      <c r="E6" s="84"/>
    </row>
    <row r="7" spans="1:5" s="53" customFormat="1" x14ac:dyDescent="0.2">
      <c r="A7" s="1"/>
      <c r="B7" s="82" t="s">
        <v>68</v>
      </c>
      <c r="C7" s="83"/>
      <c r="D7" s="83"/>
      <c r="E7" s="84"/>
    </row>
    <row r="8" spans="1:5" s="53" customFormat="1" x14ac:dyDescent="0.2">
      <c r="A8" s="1"/>
      <c r="B8" s="82" t="s">
        <v>51</v>
      </c>
      <c r="C8" s="83"/>
      <c r="D8" s="83"/>
      <c r="E8" s="84"/>
    </row>
    <row r="9" spans="1:5" s="53" customFormat="1" x14ac:dyDescent="0.2">
      <c r="A9" s="1"/>
      <c r="B9" s="16"/>
      <c r="C9" s="17"/>
      <c r="D9" s="48"/>
      <c r="E9" s="18"/>
    </row>
    <row r="10" spans="1:5" s="53" customFormat="1" ht="13.5" thickBot="1" x14ac:dyDescent="0.25">
      <c r="A10" s="1"/>
      <c r="B10" s="16"/>
      <c r="C10" s="2" t="s">
        <v>1</v>
      </c>
      <c r="D10" s="2" t="s">
        <v>2</v>
      </c>
      <c r="E10" s="18"/>
    </row>
    <row r="11" spans="1:5" s="53" customFormat="1" x14ac:dyDescent="0.2">
      <c r="A11" s="1"/>
      <c r="B11" s="16" t="s">
        <v>0</v>
      </c>
      <c r="C11" s="56">
        <v>15</v>
      </c>
      <c r="D11" s="17"/>
      <c r="E11" s="18"/>
    </row>
    <row r="12" spans="1:5" s="53" customFormat="1" x14ac:dyDescent="0.2">
      <c r="A12" s="1"/>
      <c r="B12" s="16" t="s">
        <v>12</v>
      </c>
      <c r="C12" s="17"/>
      <c r="D12" s="17">
        <f>+C26*C27*C28/1000</f>
        <v>37.5</v>
      </c>
      <c r="E12" s="18"/>
    </row>
    <row r="13" spans="1:5" s="53" customFormat="1" x14ac:dyDescent="0.2">
      <c r="A13" s="1"/>
      <c r="B13" s="16" t="s">
        <v>4</v>
      </c>
      <c r="C13" s="17"/>
      <c r="D13" s="17">
        <f>+C26*C27*C29/1000</f>
        <v>30</v>
      </c>
      <c r="E13" s="18"/>
    </row>
    <row r="14" spans="1:5" s="53" customFormat="1" x14ac:dyDescent="0.2">
      <c r="A14" s="1"/>
      <c r="B14" s="16" t="s">
        <v>5</v>
      </c>
      <c r="C14" s="17"/>
      <c r="D14" s="56">
        <v>3</v>
      </c>
      <c r="E14" s="18"/>
    </row>
    <row r="15" spans="1:5" s="53" customFormat="1" x14ac:dyDescent="0.2">
      <c r="A15" s="1"/>
      <c r="B15" s="16" t="s">
        <v>6</v>
      </c>
      <c r="C15" s="17"/>
      <c r="D15" s="56">
        <v>1.5</v>
      </c>
      <c r="E15" s="18"/>
    </row>
    <row r="16" spans="1:5" s="53" customFormat="1" x14ac:dyDescent="0.2">
      <c r="A16" s="1"/>
      <c r="B16" s="16" t="s">
        <v>7</v>
      </c>
      <c r="C16" s="17"/>
      <c r="D16" s="17">
        <f>+D12-D13-D14-D15</f>
        <v>3</v>
      </c>
      <c r="E16" s="18"/>
    </row>
    <row r="17" spans="1:5" s="53" customFormat="1" x14ac:dyDescent="0.2">
      <c r="A17" s="1"/>
      <c r="B17" s="16" t="s">
        <v>8</v>
      </c>
      <c r="C17" s="17"/>
      <c r="D17" s="17">
        <f>($C$30/100)*D16</f>
        <v>1.5</v>
      </c>
      <c r="E17" s="18"/>
    </row>
    <row r="18" spans="1:5" s="53" customFormat="1" x14ac:dyDescent="0.2">
      <c r="A18" s="1"/>
      <c r="B18" s="16" t="s">
        <v>9</v>
      </c>
      <c r="C18" s="17"/>
      <c r="D18" s="17">
        <f>+D16-D17</f>
        <v>1.5</v>
      </c>
      <c r="E18" s="18"/>
    </row>
    <row r="19" spans="1:5" s="53" customFormat="1" x14ac:dyDescent="0.2">
      <c r="A19" s="1"/>
      <c r="B19" s="16" t="s">
        <v>10</v>
      </c>
      <c r="C19" s="17"/>
      <c r="D19" s="17">
        <f>+D18+D15</f>
        <v>3</v>
      </c>
      <c r="E19" s="18"/>
    </row>
    <row r="20" spans="1:5" s="53" customFormat="1" x14ac:dyDescent="0.2">
      <c r="A20" s="1"/>
      <c r="B20" s="16"/>
      <c r="C20" s="17"/>
      <c r="D20" s="17"/>
      <c r="E20" s="18"/>
    </row>
    <row r="21" spans="1:5" s="53" customFormat="1" x14ac:dyDescent="0.2">
      <c r="A21" s="1"/>
      <c r="B21" s="16" t="s">
        <v>11</v>
      </c>
      <c r="C21" s="17">
        <f>-C11</f>
        <v>-15</v>
      </c>
      <c r="D21" s="17">
        <f>+D19</f>
        <v>3</v>
      </c>
      <c r="E21" s="18"/>
    </row>
    <row r="22" spans="1:5" s="53" customFormat="1" x14ac:dyDescent="0.2">
      <c r="A22" s="1"/>
      <c r="B22" s="16"/>
      <c r="C22" s="17"/>
      <c r="D22" s="17"/>
      <c r="E22" s="18"/>
    </row>
    <row r="23" spans="1:5" s="53" customFormat="1" x14ac:dyDescent="0.2">
      <c r="A23" s="1"/>
      <c r="B23" s="16" t="s">
        <v>20</v>
      </c>
      <c r="C23" s="40">
        <f>C21-PV(C31/100,10,D21)</f>
        <v>3.4337013171140534</v>
      </c>
      <c r="D23" s="17"/>
      <c r="E23" s="18"/>
    </row>
    <row r="24" spans="1:5" s="53" customFormat="1" x14ac:dyDescent="0.2">
      <c r="A24" s="1"/>
      <c r="B24" s="16"/>
      <c r="C24" s="17"/>
      <c r="D24" s="17"/>
      <c r="E24" s="18"/>
    </row>
    <row r="25" spans="1:5" s="53" customFormat="1" x14ac:dyDescent="0.2">
      <c r="A25" s="1"/>
      <c r="B25" s="16" t="s">
        <v>23</v>
      </c>
      <c r="C25" s="17"/>
      <c r="D25" s="17"/>
      <c r="E25" s="18"/>
    </row>
    <row r="26" spans="1:5" s="53" customFormat="1" x14ac:dyDescent="0.2">
      <c r="A26" s="1"/>
      <c r="B26" s="16" t="s">
        <v>27</v>
      </c>
      <c r="C26" s="58">
        <v>1</v>
      </c>
      <c r="D26" s="17"/>
      <c r="E26" s="18"/>
    </row>
    <row r="27" spans="1:5" s="53" customFormat="1" x14ac:dyDescent="0.2">
      <c r="A27" s="1"/>
      <c r="B27" s="16" t="s">
        <v>54</v>
      </c>
      <c r="C27" s="58">
        <v>0.1</v>
      </c>
      <c r="D27" s="17"/>
      <c r="E27" s="18"/>
    </row>
    <row r="28" spans="1:5" s="53" customFormat="1" x14ac:dyDescent="0.2">
      <c r="A28" s="1"/>
      <c r="B28" s="16" t="s">
        <v>24</v>
      </c>
      <c r="C28" s="54">
        <v>375000</v>
      </c>
      <c r="D28" s="17"/>
      <c r="E28" s="18"/>
    </row>
    <row r="29" spans="1:5" s="53" customFormat="1" x14ac:dyDescent="0.2">
      <c r="A29" s="1"/>
      <c r="B29" s="16" t="s">
        <v>40</v>
      </c>
      <c r="C29" s="54">
        <v>300000</v>
      </c>
      <c r="D29" s="17"/>
      <c r="E29" s="18"/>
    </row>
    <row r="30" spans="1:5" s="53" customFormat="1" x14ac:dyDescent="0.2">
      <c r="A30" s="1"/>
      <c r="B30" s="16" t="s">
        <v>13</v>
      </c>
      <c r="C30" s="56">
        <v>50</v>
      </c>
      <c r="D30" s="17"/>
      <c r="E30" s="18"/>
    </row>
    <row r="31" spans="1:5" s="53" customFormat="1" x14ac:dyDescent="0.2">
      <c r="A31" s="1"/>
      <c r="B31" s="16" t="s">
        <v>21</v>
      </c>
      <c r="C31" s="56">
        <v>10</v>
      </c>
      <c r="D31" s="17"/>
      <c r="E31" s="18"/>
    </row>
    <row r="32" spans="1:5" s="53" customFormat="1" x14ac:dyDescent="0.2">
      <c r="A32" s="1"/>
      <c r="B32" s="27"/>
      <c r="C32" s="28"/>
      <c r="D32" s="28"/>
      <c r="E32" s="29"/>
    </row>
  </sheetData>
  <sheetProtection password="DC54" sheet="1" objects="1" scenarios="1"/>
  <mergeCells count="6">
    <mergeCell ref="B6:E6"/>
    <mergeCell ref="B7:E7"/>
    <mergeCell ref="B8:E8"/>
    <mergeCell ref="B2:E2"/>
    <mergeCell ref="B3:E3"/>
    <mergeCell ref="B4:E4"/>
  </mergeCells>
  <phoneticPr fontId="0" type="noConversion"/>
  <dataValidations count="3">
    <dataValidation type="decimal" allowBlank="1" showInputMessage="1" showErrorMessage="1" sqref="C30:C31">
      <formula1>0</formula1>
      <formula2>100</formula2>
    </dataValidation>
    <dataValidation type="decimal" operator="greaterThanOrEqual" allowBlank="1" showInputMessage="1" showErrorMessage="1" sqref="C11 C28:C29 D14:D15 C26">
      <formula1>0</formula1>
    </dataValidation>
    <dataValidation type="decimal" allowBlank="1" showInputMessage="1" showErrorMessage="1" sqref="C27">
      <formula1>0</formula1>
      <formula2>1</formula2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showGridLines="0" showRowColHeaders="0" zoomScaleNormal="100" workbookViewId="0"/>
  </sheetViews>
  <sheetFormatPr defaultColWidth="9.140625" defaultRowHeight="12.75" x14ac:dyDescent="0.2"/>
  <cols>
    <col min="1" max="1" width="10.42578125" style="80" customWidth="1"/>
    <col min="2" max="2" width="17.7109375" style="80" customWidth="1"/>
    <col min="3" max="3" width="10.42578125" style="80" customWidth="1"/>
    <col min="4" max="5" width="8.85546875" style="80" customWidth="1"/>
    <col min="6" max="6" width="2.28515625" style="80" customWidth="1"/>
    <col min="7" max="7" width="10.7109375" style="80" customWidth="1"/>
    <col min="8" max="8" width="9" style="80" customWidth="1"/>
    <col min="9" max="9" width="9.140625" style="80" customWidth="1"/>
    <col min="10" max="10" width="2.140625" style="80" customWidth="1"/>
    <col min="11" max="11" width="10.5703125" style="80" customWidth="1"/>
    <col min="12" max="12" width="8.28515625" style="80" customWidth="1"/>
    <col min="13" max="13" width="8.7109375" style="80" customWidth="1"/>
    <col min="14" max="14" width="5.7109375" style="80" customWidth="1"/>
    <col min="15" max="16384" width="9.140625" style="80"/>
  </cols>
  <sheetData>
    <row r="1" spans="1:14" ht="30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0"/>
    </row>
    <row r="2" spans="1:14" ht="19.5" customHeight="1" x14ac:dyDescent="0.2">
      <c r="A2" s="1"/>
      <c r="B2" s="65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7"/>
    </row>
    <row r="3" spans="1:14" x14ac:dyDescent="0.2">
      <c r="A3" s="1"/>
      <c r="B3" s="93" t="s">
        <v>61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68"/>
    </row>
    <row r="4" spans="1:14" x14ac:dyDescent="0.2">
      <c r="A4" s="1"/>
      <c r="B4" s="93" t="s">
        <v>52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68"/>
    </row>
    <row r="5" spans="1:14" x14ac:dyDescent="0.2">
      <c r="A5" s="1"/>
      <c r="B5" s="69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8"/>
    </row>
    <row r="6" spans="1:14" x14ac:dyDescent="0.2">
      <c r="A6" s="1"/>
      <c r="B6" s="70"/>
      <c r="C6" s="71"/>
      <c r="D6" s="71"/>
      <c r="E6" s="71"/>
      <c r="F6" s="71"/>
      <c r="G6" s="92" t="s">
        <v>25</v>
      </c>
      <c r="H6" s="92"/>
      <c r="I6" s="92"/>
      <c r="J6" s="71"/>
      <c r="K6" s="71"/>
      <c r="L6" s="71"/>
      <c r="M6" s="71"/>
      <c r="N6" s="68"/>
    </row>
    <row r="7" spans="1:14" ht="13.5" thickBot="1" x14ac:dyDescent="0.25">
      <c r="A7" s="1"/>
      <c r="B7" s="70"/>
      <c r="C7" s="61"/>
      <c r="D7" s="62" t="s">
        <v>18</v>
      </c>
      <c r="E7" s="61"/>
      <c r="F7" s="71"/>
      <c r="G7" s="62" t="s">
        <v>26</v>
      </c>
      <c r="H7" s="61"/>
      <c r="I7" s="61"/>
      <c r="J7" s="71"/>
      <c r="K7" s="91" t="s">
        <v>22</v>
      </c>
      <c r="L7" s="91"/>
      <c r="M7" s="91"/>
      <c r="N7" s="68"/>
    </row>
    <row r="8" spans="1:14" ht="13.5" thickBot="1" x14ac:dyDescent="0.25">
      <c r="A8" s="1"/>
      <c r="B8" s="72" t="s">
        <v>14</v>
      </c>
      <c r="C8" s="63" t="s">
        <v>15</v>
      </c>
      <c r="D8" s="63" t="s">
        <v>16</v>
      </c>
      <c r="E8" s="63" t="s">
        <v>17</v>
      </c>
      <c r="F8" s="71"/>
      <c r="G8" s="63" t="s">
        <v>15</v>
      </c>
      <c r="H8" s="63" t="s">
        <v>16</v>
      </c>
      <c r="I8" s="63" t="s">
        <v>17</v>
      </c>
      <c r="J8" s="71"/>
      <c r="K8" s="63" t="s">
        <v>15</v>
      </c>
      <c r="L8" s="63" t="s">
        <v>16</v>
      </c>
      <c r="M8" s="63" t="s">
        <v>17</v>
      </c>
      <c r="N8" s="68"/>
    </row>
    <row r="9" spans="1:14" x14ac:dyDescent="0.2">
      <c r="A9" s="1"/>
      <c r="B9" s="70" t="s">
        <v>59</v>
      </c>
      <c r="C9" s="56">
        <v>0.9</v>
      </c>
      <c r="D9" s="73">
        <f>'TABLE 10.1'!C26</f>
        <v>1</v>
      </c>
      <c r="E9" s="56">
        <v>1.1000000000000001</v>
      </c>
      <c r="F9" s="64"/>
      <c r="G9" s="74">
        <f>(1-'TABLE 10.1'!$C$30/100)*((C$9*$D$10)*($D$11-$D$12)/1000-$D$13)+(('TABLE 10.1'!$C$30/100)*'TABLE 10.1'!$D$15)</f>
        <v>2.6250000000000004</v>
      </c>
      <c r="H9" s="74">
        <f>(1-'TABLE 10.1'!$C$30/100)*((D$9*$D$10)*($D$11-$D$12)/1000-$D$13)+(('TABLE 10.1'!$C$30/100)*'TABLE 10.1'!$D$15)</f>
        <v>3</v>
      </c>
      <c r="I9" s="74">
        <f>(1-'TABLE 10.1'!$C$30/100)*((E$9*$D$10)*($D$11-$D$12)/1000-$D$13)+(('TABLE 10.1'!$C$30/100)*'TABLE 10.1'!$D$15)</f>
        <v>3.3750000000000009</v>
      </c>
      <c r="J9" s="74"/>
      <c r="K9" s="75">
        <f>'TABLE 10.1'!$C$21-PV('TABLE 10.1'!$C$31/100,10,G9)</f>
        <v>1.1294886524748016</v>
      </c>
      <c r="L9" s="75">
        <f>'TABLE 10.1'!$C$21-PV('TABLE 10.1'!$C$31/100,10,H9)</f>
        <v>3.4337013171140534</v>
      </c>
      <c r="M9" s="75">
        <f>'TABLE 10.1'!$C$21-PV('TABLE 10.1'!$C$31/100,10,I9)</f>
        <v>5.7379139817533158</v>
      </c>
      <c r="N9" s="68"/>
    </row>
    <row r="10" spans="1:14" x14ac:dyDescent="0.2">
      <c r="A10" s="1"/>
      <c r="B10" s="70" t="s">
        <v>19</v>
      </c>
      <c r="C10" s="81">
        <v>0.04</v>
      </c>
      <c r="D10" s="76">
        <f>'TABLE 10.1'!C27</f>
        <v>0.1</v>
      </c>
      <c r="E10" s="81">
        <v>0.16</v>
      </c>
      <c r="F10" s="64"/>
      <c r="G10" s="74">
        <f>(1-'TABLE 10.1'!$C$30/100)*(($D$9*C$10)*($D$11-$D$12)/1000-$D$13)+(('TABLE 10.1'!$C$30/100)*'TABLE 10.1'!$D$15)</f>
        <v>0.75</v>
      </c>
      <c r="H10" s="74">
        <f>(1-'TABLE 10.1'!$C$30/100)*((D$9*$D$10)*($D$11-$D$12)/1000-$D$13)+(('TABLE 10.1'!$C$30/100)*'TABLE 10.1'!$D$15)</f>
        <v>3</v>
      </c>
      <c r="I10" s="74">
        <f>(1-'TABLE 10.1'!$C$30/100)*(($D$9*E$10)*($D$11-$D$12)/1000-$D$13)+(('TABLE 10.1'!$C$30/100)*'TABLE 10.1'!$D$15)</f>
        <v>5.25</v>
      </c>
      <c r="J10" s="74"/>
      <c r="K10" s="75">
        <f>'TABLE 10.1'!$C$21-PV('TABLE 10.1'!$C$31/100,10,G10)</f>
        <v>-10.391574670721486</v>
      </c>
      <c r="L10" s="75">
        <f>'TABLE 10.1'!$C$21-PV('TABLE 10.1'!$C$31/100,10,H10)</f>
        <v>3.4337013171140534</v>
      </c>
      <c r="M10" s="75">
        <f>'TABLE 10.1'!$C$21-PV('TABLE 10.1'!$C$31/100,10,I10)</f>
        <v>17.258977304949596</v>
      </c>
      <c r="N10" s="68"/>
    </row>
    <row r="11" spans="1:14" x14ac:dyDescent="0.2">
      <c r="A11" s="1"/>
      <c r="B11" s="70" t="s">
        <v>56</v>
      </c>
      <c r="C11" s="54">
        <v>350000</v>
      </c>
      <c r="D11" s="73">
        <f>'TABLE 10.1'!C28</f>
        <v>375000</v>
      </c>
      <c r="E11" s="54">
        <v>380000</v>
      </c>
      <c r="F11" s="64"/>
      <c r="G11" s="74">
        <f>(1-'TABLE 10.1'!$C$30/100)*(($D$9*$D$10)*(C$11-$D$12)/1000-$D$13)+(('TABLE 10.1'!$C$30/100)*'TABLE 10.1'!$D$15)</f>
        <v>1.75</v>
      </c>
      <c r="H11" s="74">
        <f>(1-'TABLE 10.1'!$C$30/100)*((D$9*$D$10)*($D$11-$D$12)/1000-$D$13)+(('TABLE 10.1'!$C$30/100)*'TABLE 10.1'!$D$15)</f>
        <v>3</v>
      </c>
      <c r="I11" s="74">
        <f>(1-'TABLE 10.1'!$C$30/100)*(($D$9*$D$10)*(E$11-$D$12)/1000-$D$13)+(('TABLE 10.1'!$C$30/100)*'TABLE 10.1'!$D$15)</f>
        <v>3.25</v>
      </c>
      <c r="J11" s="74"/>
      <c r="K11" s="75">
        <f>'TABLE 10.1'!$C$21-PV('TABLE 10.1'!$C$31/100,10,G11)</f>
        <v>-4.2470075650168013</v>
      </c>
      <c r="L11" s="75">
        <f>'TABLE 10.1'!$C$21-PV('TABLE 10.1'!$C$31/100,10,H11)</f>
        <v>3.4337013171140534</v>
      </c>
      <c r="M11" s="75">
        <f>'TABLE 10.1'!$C$21-PV('TABLE 10.1'!$C$31/100,10,I11)</f>
        <v>4.9698430935402271</v>
      </c>
      <c r="N11" s="68"/>
    </row>
    <row r="12" spans="1:14" x14ac:dyDescent="0.2">
      <c r="A12" s="1"/>
      <c r="B12" s="70" t="s">
        <v>57</v>
      </c>
      <c r="C12" s="54">
        <v>360000</v>
      </c>
      <c r="D12" s="73">
        <f>'TABLE 10.1'!C29</f>
        <v>300000</v>
      </c>
      <c r="E12" s="54">
        <v>275000</v>
      </c>
      <c r="F12" s="64"/>
      <c r="G12" s="74">
        <f>(1-'TABLE 10.1'!$C$30/100)*(($D$9*$D$10)*($D$11-C$12)/1000-$D$13)+(('TABLE 10.1'!$C$30/100)*'TABLE 10.1'!$D$15)</f>
        <v>0</v>
      </c>
      <c r="H12" s="74">
        <f>(1-'TABLE 10.1'!$C$30/100)*((D$9*$D$10)*($D$11-$D$12)/1000-$D$13)+(('TABLE 10.1'!$C$30/100)*'TABLE 10.1'!$D$15)</f>
        <v>3</v>
      </c>
      <c r="I12" s="74">
        <f>(1-'TABLE 10.1'!$C$30/100)*(($D$9*$D$10)*($D$11-E$12)/1000-$D$13)+(('TABLE 10.1'!$C$30/100)*'TABLE 10.1'!$D$15)</f>
        <v>4.25</v>
      </c>
      <c r="J12" s="74"/>
      <c r="K12" s="75">
        <f>'TABLE 10.1'!$C$21-PV('TABLE 10.1'!$C$31/100,10,G12)</f>
        <v>-15</v>
      </c>
      <c r="L12" s="75">
        <f>'TABLE 10.1'!$C$21-PV('TABLE 10.1'!$C$31/100,10,H12)</f>
        <v>3.4337013171140534</v>
      </c>
      <c r="M12" s="75">
        <f>'TABLE 10.1'!$C$21-PV('TABLE 10.1'!$C$31/100,10,I12)</f>
        <v>11.114410199244912</v>
      </c>
      <c r="N12" s="68"/>
    </row>
    <row r="13" spans="1:14" x14ac:dyDescent="0.2">
      <c r="A13" s="1"/>
      <c r="B13" s="70" t="s">
        <v>58</v>
      </c>
      <c r="C13" s="56">
        <v>4</v>
      </c>
      <c r="D13" s="73">
        <f>'TABLE 10.1'!D14</f>
        <v>3</v>
      </c>
      <c r="E13" s="56">
        <v>2</v>
      </c>
      <c r="F13" s="64"/>
      <c r="G13" s="74">
        <f>(1-'TABLE 10.1'!$C$30/100)*(($D$9*$D$10)*($D$11-$D$12)/1000-C$13)+(('TABLE 10.1'!$C$30/100)*'TABLE 10.1'!$D$15)</f>
        <v>2.5</v>
      </c>
      <c r="H13" s="74">
        <f>(1-'TABLE 10.1'!$C$30/100)*((D$9*$D$10)*($D$11-$D$12)/1000-$D$13)+(('TABLE 10.1'!$C$30/100)*'TABLE 10.1'!$D$15)</f>
        <v>3</v>
      </c>
      <c r="I13" s="74">
        <f>(1-'TABLE 10.1'!$C$30/100)*(($D$9*$D$10)*($D$11-$D$12)/1000-E$13)+(('TABLE 10.1'!$C$30/100)*'TABLE 10.1'!$D$15)</f>
        <v>3.5</v>
      </c>
      <c r="J13" s="74"/>
      <c r="K13" s="75">
        <f>'TABLE 10.1'!$C$21-PV('TABLE 10.1'!$C$31/100,10,G13)</f>
        <v>0.3614177642617129</v>
      </c>
      <c r="L13" s="75">
        <f>'TABLE 10.1'!$C$21-PV('TABLE 10.1'!$C$31/100,10,H13)</f>
        <v>3.4337013171140534</v>
      </c>
      <c r="M13" s="75">
        <f>'TABLE 10.1'!$C$21-PV('TABLE 10.1'!$C$31/100,10,I13)</f>
        <v>6.5059848699663974</v>
      </c>
      <c r="N13" s="68"/>
    </row>
    <row r="14" spans="1:14" x14ac:dyDescent="0.2">
      <c r="A14" s="1"/>
      <c r="B14" s="77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9"/>
    </row>
  </sheetData>
  <sheetProtection password="DC54" sheet="1" objects="1" scenarios="1"/>
  <mergeCells count="4">
    <mergeCell ref="K7:M7"/>
    <mergeCell ref="G6:I6"/>
    <mergeCell ref="B3:M3"/>
    <mergeCell ref="B4:M4"/>
  </mergeCells>
  <phoneticPr fontId="0" type="noConversion"/>
  <dataValidations count="2">
    <dataValidation type="decimal" operator="lessThan" allowBlank="1" showInputMessage="1" showErrorMessage="1" sqref="C9">
      <formula1>D9</formula1>
    </dataValidation>
    <dataValidation type="decimal" operator="greaterThanOrEqual" allowBlank="1" showInputMessage="1" showErrorMessage="1" sqref="C10:C13 E10:E13">
      <formula1>0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showRowColHeaders="0" workbookViewId="0"/>
  </sheetViews>
  <sheetFormatPr defaultColWidth="9.140625" defaultRowHeight="12.75" x14ac:dyDescent="0.2"/>
  <cols>
    <col min="1" max="1" width="21.85546875" style="53" customWidth="1"/>
    <col min="2" max="2" width="20" style="59" customWidth="1"/>
    <col min="3" max="3" width="5.7109375" style="59" customWidth="1"/>
    <col min="4" max="4" width="10.28515625" style="59" customWidth="1"/>
    <col min="5" max="5" width="6.5703125" style="59" customWidth="1"/>
    <col min="6" max="9" width="9.140625" style="59" customWidth="1"/>
    <col min="10" max="10" width="8" style="59" customWidth="1"/>
    <col min="11" max="16384" width="9.140625" style="53"/>
  </cols>
  <sheetData>
    <row r="1" spans="1:10" ht="26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1"/>
      <c r="B2" s="95" t="s">
        <v>62</v>
      </c>
      <c r="C2" s="96"/>
      <c r="D2" s="96"/>
      <c r="E2" s="96"/>
      <c r="F2" s="96"/>
      <c r="G2" s="96"/>
      <c r="H2" s="96"/>
      <c r="I2" s="96"/>
      <c r="J2" s="97"/>
    </row>
    <row r="3" spans="1:10" x14ac:dyDescent="0.2">
      <c r="A3" s="1"/>
      <c r="B3" s="98" t="s">
        <v>53</v>
      </c>
      <c r="C3" s="99"/>
      <c r="D3" s="99"/>
      <c r="E3" s="99"/>
      <c r="F3" s="99"/>
      <c r="G3" s="99"/>
      <c r="H3" s="99"/>
      <c r="I3" s="99"/>
      <c r="J3" s="100"/>
    </row>
    <row r="4" spans="1:10" x14ac:dyDescent="0.2">
      <c r="A4" s="1"/>
      <c r="B4" s="13"/>
      <c r="C4" s="14"/>
      <c r="D4" s="14"/>
      <c r="E4" s="14"/>
      <c r="F4" s="14"/>
      <c r="G4" s="14"/>
      <c r="H4" s="14"/>
      <c r="I4" s="14"/>
      <c r="J4" s="15"/>
    </row>
    <row r="5" spans="1:10" x14ac:dyDescent="0.2">
      <c r="A5" s="1"/>
      <c r="B5" s="16"/>
      <c r="C5" s="17"/>
      <c r="D5" s="17"/>
      <c r="E5" s="17"/>
      <c r="F5" s="17"/>
      <c r="G5" s="17"/>
      <c r="H5" s="17"/>
      <c r="I5" s="17"/>
      <c r="J5" s="18"/>
    </row>
    <row r="6" spans="1:10" ht="13.5" thickBot="1" x14ac:dyDescent="0.25">
      <c r="A6" s="1"/>
      <c r="B6" s="16"/>
      <c r="C6" s="17"/>
      <c r="D6" s="2" t="s">
        <v>34</v>
      </c>
      <c r="E6" s="3"/>
      <c r="F6" s="3"/>
      <c r="G6" s="3"/>
      <c r="H6" s="3"/>
      <c r="I6" s="17"/>
      <c r="J6" s="18"/>
    </row>
    <row r="7" spans="1:10" ht="13.5" thickBot="1" x14ac:dyDescent="0.25">
      <c r="A7" s="1"/>
      <c r="B7" s="16"/>
      <c r="C7" s="17"/>
      <c r="D7" s="4" t="s">
        <v>31</v>
      </c>
      <c r="E7" s="17"/>
      <c r="F7" s="2" t="s">
        <v>33</v>
      </c>
      <c r="G7" s="5"/>
      <c r="H7" s="5"/>
      <c r="I7" s="5"/>
      <c r="J7" s="18"/>
    </row>
    <row r="8" spans="1:10" x14ac:dyDescent="0.2">
      <c r="A8" s="1"/>
      <c r="B8" s="16" t="s">
        <v>12</v>
      </c>
      <c r="C8" s="17"/>
      <c r="D8" s="17">
        <f>(D22/1000)*D23*D24</f>
        <v>37.5</v>
      </c>
      <c r="E8" s="17"/>
      <c r="F8" s="17"/>
      <c r="G8" s="26">
        <f>(G22/1000)*G23*G24</f>
        <v>44.855200000000004</v>
      </c>
      <c r="H8" s="17"/>
      <c r="I8" s="17"/>
      <c r="J8" s="18"/>
    </row>
    <row r="9" spans="1:10" x14ac:dyDescent="0.2">
      <c r="A9" s="1"/>
      <c r="B9" s="16" t="s">
        <v>4</v>
      </c>
      <c r="C9" s="17"/>
      <c r="D9" s="17">
        <f>(D22/1000)*D23*D25</f>
        <v>30</v>
      </c>
      <c r="E9" s="17"/>
      <c r="F9" s="17"/>
      <c r="G9" s="26">
        <f>(G22/1000)*G23*G25</f>
        <v>35.880000000000003</v>
      </c>
      <c r="H9" s="17"/>
      <c r="I9" s="17"/>
      <c r="J9" s="18"/>
    </row>
    <row r="10" spans="1:10" x14ac:dyDescent="0.2">
      <c r="A10" s="1"/>
      <c r="B10" s="16" t="s">
        <v>5</v>
      </c>
      <c r="C10" s="17"/>
      <c r="D10" s="17">
        <f>D26</f>
        <v>3</v>
      </c>
      <c r="E10" s="17"/>
      <c r="F10" s="17"/>
      <c r="G10" s="49">
        <f>G26</f>
        <v>3.5</v>
      </c>
      <c r="H10" s="17"/>
      <c r="I10" s="17"/>
      <c r="J10" s="18"/>
    </row>
    <row r="11" spans="1:10" x14ac:dyDescent="0.2">
      <c r="A11" s="1"/>
      <c r="B11" s="16" t="s">
        <v>6</v>
      </c>
      <c r="C11" s="17"/>
      <c r="D11" s="17">
        <f>'TABLE 10.1'!$D$15</f>
        <v>1.5</v>
      </c>
      <c r="E11" s="17"/>
      <c r="F11" s="17"/>
      <c r="G11" s="17">
        <f>'TABLE 10.1'!$D$15</f>
        <v>1.5</v>
      </c>
      <c r="H11" s="17"/>
      <c r="I11" s="17"/>
      <c r="J11" s="18"/>
    </row>
    <row r="12" spans="1:10" x14ac:dyDescent="0.2">
      <c r="A12" s="1"/>
      <c r="B12" s="16" t="s">
        <v>7</v>
      </c>
      <c r="C12" s="17"/>
      <c r="D12" s="17">
        <f>+D8-D9-D10-D11</f>
        <v>3</v>
      </c>
      <c r="E12" s="17"/>
      <c r="F12" s="17"/>
      <c r="G12" s="26">
        <f>+G8-G9-G10-G11</f>
        <v>3.975200000000001</v>
      </c>
      <c r="H12" s="17"/>
      <c r="I12" s="17"/>
      <c r="J12" s="18"/>
    </row>
    <row r="13" spans="1:10" x14ac:dyDescent="0.2">
      <c r="A13" s="1"/>
      <c r="B13" s="16" t="s">
        <v>8</v>
      </c>
      <c r="C13" s="17"/>
      <c r="D13" s="17">
        <f>('TABLE 10.1'!$C$30/100)*D12</f>
        <v>1.5</v>
      </c>
      <c r="E13" s="17"/>
      <c r="F13" s="17"/>
      <c r="G13" s="26">
        <f>('TABLE 10.1'!$C$30/100)*G12</f>
        <v>1.9876000000000005</v>
      </c>
      <c r="H13" s="17"/>
      <c r="I13" s="17"/>
      <c r="J13" s="18"/>
    </row>
    <row r="14" spans="1:10" x14ac:dyDescent="0.2">
      <c r="A14" s="1"/>
      <c r="B14" s="16" t="s">
        <v>9</v>
      </c>
      <c r="C14" s="17"/>
      <c r="D14" s="17">
        <f>D12-D13</f>
        <v>1.5</v>
      </c>
      <c r="E14" s="17"/>
      <c r="F14" s="17"/>
      <c r="G14" s="26">
        <f>G12-G13</f>
        <v>1.9876000000000005</v>
      </c>
      <c r="H14" s="17"/>
      <c r="I14" s="17"/>
      <c r="J14" s="18"/>
    </row>
    <row r="15" spans="1:10" x14ac:dyDescent="0.2">
      <c r="A15" s="1"/>
      <c r="B15" s="16" t="s">
        <v>11</v>
      </c>
      <c r="C15" s="17"/>
      <c r="D15" s="17">
        <f>D14+D11</f>
        <v>3</v>
      </c>
      <c r="E15" s="17"/>
      <c r="F15" s="17"/>
      <c r="G15" s="26">
        <f>G14+G11</f>
        <v>3.4876000000000005</v>
      </c>
      <c r="H15" s="17"/>
      <c r="I15" s="17"/>
      <c r="J15" s="18"/>
    </row>
    <row r="16" spans="1:10" x14ac:dyDescent="0.2">
      <c r="A16" s="1"/>
      <c r="B16" s="16"/>
      <c r="C16" s="17"/>
      <c r="D16" s="17"/>
      <c r="E16" s="17"/>
      <c r="F16" s="17"/>
      <c r="G16" s="26"/>
      <c r="H16" s="17"/>
      <c r="I16" s="17"/>
      <c r="J16" s="18"/>
    </row>
    <row r="17" spans="1:10" x14ac:dyDescent="0.2">
      <c r="A17" s="1"/>
      <c r="B17" s="16" t="s">
        <v>32</v>
      </c>
      <c r="C17" s="17"/>
      <c r="D17" s="24">
        <f>-PV(0.1,10,D15)</f>
        <v>18.433701317114053</v>
      </c>
      <c r="E17" s="17"/>
      <c r="F17" s="17"/>
      <c r="G17" s="26">
        <f>-PV(0.1,10,G15)</f>
        <v>21.429792237855661</v>
      </c>
      <c r="H17" s="17"/>
      <c r="I17" s="17"/>
      <c r="J17" s="18"/>
    </row>
    <row r="18" spans="1:10" x14ac:dyDescent="0.2">
      <c r="A18" s="1"/>
      <c r="B18" s="16" t="s">
        <v>20</v>
      </c>
      <c r="C18" s="17"/>
      <c r="D18" s="50">
        <f>D17-'TABLE 10.1'!$C11</f>
        <v>3.4337013171140534</v>
      </c>
      <c r="E18" s="51"/>
      <c r="F18" s="51"/>
      <c r="G18" s="50">
        <f>G17-'TABLE 10.1'!$C11</f>
        <v>6.4297922378556613</v>
      </c>
      <c r="H18" s="17"/>
      <c r="I18" s="17"/>
      <c r="J18" s="18"/>
    </row>
    <row r="19" spans="1:10" x14ac:dyDescent="0.2">
      <c r="A19" s="1"/>
      <c r="B19" s="16"/>
      <c r="C19" s="17"/>
      <c r="D19" s="17"/>
      <c r="E19" s="17"/>
      <c r="F19" s="17"/>
      <c r="G19" s="17"/>
      <c r="H19" s="17"/>
      <c r="I19" s="17"/>
      <c r="J19" s="18"/>
    </row>
    <row r="20" spans="1:10" ht="13.5" thickBot="1" x14ac:dyDescent="0.25">
      <c r="A20" s="1"/>
      <c r="B20" s="16"/>
      <c r="C20" s="17"/>
      <c r="D20" s="3"/>
      <c r="E20" s="2" t="s">
        <v>35</v>
      </c>
      <c r="F20" s="3"/>
      <c r="G20" s="3"/>
      <c r="H20" s="3"/>
      <c r="I20" s="3"/>
      <c r="J20" s="18"/>
    </row>
    <row r="21" spans="1:10" ht="13.5" thickBot="1" x14ac:dyDescent="0.25">
      <c r="A21" s="1"/>
      <c r="B21" s="16"/>
      <c r="C21" s="17"/>
      <c r="D21" s="2" t="s">
        <v>31</v>
      </c>
      <c r="E21" s="17"/>
      <c r="F21" s="2" t="s">
        <v>33</v>
      </c>
      <c r="G21" s="5"/>
      <c r="H21" s="5"/>
      <c r="I21" s="5"/>
      <c r="J21" s="18"/>
    </row>
    <row r="22" spans="1:10" x14ac:dyDescent="0.2">
      <c r="A22" s="1"/>
      <c r="B22" s="16" t="s">
        <v>27</v>
      </c>
      <c r="C22" s="17"/>
      <c r="D22" s="23">
        <f>'TABLE 10.1'!C26</f>
        <v>1</v>
      </c>
      <c r="E22" s="17"/>
      <c r="F22" s="17"/>
      <c r="G22" s="56">
        <v>0.8</v>
      </c>
      <c r="H22" s="17"/>
      <c r="I22" s="17"/>
      <c r="J22" s="18"/>
    </row>
    <row r="23" spans="1:10" x14ac:dyDescent="0.2">
      <c r="A23" s="1"/>
      <c r="B23" s="16" t="s">
        <v>19</v>
      </c>
      <c r="C23" s="17"/>
      <c r="D23" s="52">
        <f>'TABLE 10.1'!C27</f>
        <v>0.1</v>
      </c>
      <c r="E23" s="17"/>
      <c r="F23" s="17"/>
      <c r="G23" s="56">
        <v>0.13</v>
      </c>
      <c r="H23" s="17"/>
      <c r="I23" s="17"/>
      <c r="J23" s="18"/>
    </row>
    <row r="24" spans="1:10" x14ac:dyDescent="0.2">
      <c r="A24" s="1"/>
      <c r="B24" s="16" t="s">
        <v>28</v>
      </c>
      <c r="C24" s="17"/>
      <c r="D24" s="23">
        <f>'TABLE 10.1'!C28</f>
        <v>375000</v>
      </c>
      <c r="E24" s="17"/>
      <c r="F24" s="17"/>
      <c r="G24" s="54">
        <v>431300</v>
      </c>
      <c r="H24" s="17"/>
      <c r="I24" s="17"/>
      <c r="J24" s="18"/>
    </row>
    <row r="25" spans="1:10" x14ac:dyDescent="0.2">
      <c r="A25" s="1"/>
      <c r="B25" s="16" t="s">
        <v>29</v>
      </c>
      <c r="C25" s="17"/>
      <c r="D25" s="23">
        <f>'TABLE 10.1'!C29</f>
        <v>300000</v>
      </c>
      <c r="E25" s="17"/>
      <c r="F25" s="17"/>
      <c r="G25" s="54">
        <v>345000</v>
      </c>
      <c r="H25" s="17"/>
      <c r="I25" s="17"/>
      <c r="J25" s="18"/>
    </row>
    <row r="26" spans="1:10" x14ac:dyDescent="0.2">
      <c r="A26" s="1"/>
      <c r="B26" s="16" t="s">
        <v>30</v>
      </c>
      <c r="C26" s="17"/>
      <c r="D26" s="23">
        <f>'TABLE 10.1'!D14</f>
        <v>3</v>
      </c>
      <c r="E26" s="17"/>
      <c r="F26" s="17"/>
      <c r="G26" s="56">
        <v>3.5</v>
      </c>
      <c r="H26" s="17"/>
      <c r="I26" s="17"/>
      <c r="J26" s="18"/>
    </row>
    <row r="27" spans="1:10" x14ac:dyDescent="0.2">
      <c r="A27" s="1"/>
      <c r="B27" s="37"/>
      <c r="C27" s="38"/>
      <c r="D27" s="38"/>
      <c r="E27" s="38"/>
      <c r="F27" s="38"/>
      <c r="G27" s="38"/>
      <c r="H27" s="38"/>
      <c r="I27" s="38"/>
      <c r="J27" s="39"/>
    </row>
  </sheetData>
  <sheetProtection password="DC54" sheet="1" objects="1" scenarios="1"/>
  <mergeCells count="2">
    <mergeCell ref="B2:J2"/>
    <mergeCell ref="B3:J3"/>
  </mergeCells>
  <phoneticPr fontId="0" type="noConversion"/>
  <dataValidations count="2">
    <dataValidation type="decimal" allowBlank="1" showInputMessage="1" showErrorMessage="1" sqref="G23">
      <formula1>0</formula1>
      <formula2>1</formula2>
    </dataValidation>
    <dataValidation type="decimal" operator="greaterThanOrEqual" allowBlank="1" showInputMessage="1" showErrorMessage="1" sqref="E19 D8:D11 G8:G11 G22 E24:G26">
      <formula1>0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showRowColHeaders="0" workbookViewId="0"/>
  </sheetViews>
  <sheetFormatPr defaultColWidth="9.140625" defaultRowHeight="12.75" x14ac:dyDescent="0.2"/>
  <cols>
    <col min="1" max="1" width="7.140625" style="53" customWidth="1"/>
    <col min="2" max="2" width="21.28515625" style="53" customWidth="1"/>
    <col min="3" max="3" width="11" style="53" customWidth="1"/>
    <col min="4" max="4" width="10.7109375" style="53" customWidth="1"/>
    <col min="5" max="5" width="11.140625" style="53" customWidth="1"/>
    <col min="6" max="6" width="12.140625" style="53" customWidth="1"/>
    <col min="7" max="7" width="12.42578125" style="53" customWidth="1"/>
    <col min="8" max="10" width="9.140625" style="53" customWidth="1"/>
    <col min="11" max="11" width="15.7109375" style="53" customWidth="1"/>
    <col min="12" max="16384" width="9.140625" style="53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9.5" customHeight="1" x14ac:dyDescent="0.2">
      <c r="A3" s="1"/>
      <c r="B3" s="95" t="s">
        <v>66</v>
      </c>
      <c r="C3" s="96"/>
      <c r="D3" s="96"/>
      <c r="E3" s="96"/>
      <c r="F3" s="96"/>
      <c r="G3" s="96"/>
      <c r="H3" s="96"/>
      <c r="I3" s="96"/>
      <c r="J3" s="96"/>
      <c r="K3" s="101"/>
    </row>
    <row r="4" spans="1:11" x14ac:dyDescent="0.2">
      <c r="A4" s="1"/>
      <c r="B4" s="13"/>
      <c r="C4" s="14"/>
      <c r="D4" s="14"/>
      <c r="E4" s="14"/>
      <c r="F4" s="14"/>
      <c r="G4" s="14"/>
      <c r="H4" s="14"/>
      <c r="I4" s="14"/>
      <c r="J4" s="14"/>
      <c r="K4" s="15"/>
    </row>
    <row r="5" spans="1:11" ht="13.5" thickBot="1" x14ac:dyDescent="0.25">
      <c r="A5" s="1"/>
      <c r="B5" s="16"/>
      <c r="C5" s="17"/>
      <c r="D5" s="3"/>
      <c r="E5" s="3"/>
      <c r="F5" s="2" t="s">
        <v>47</v>
      </c>
      <c r="G5" s="3"/>
      <c r="H5" s="17"/>
      <c r="I5" s="17"/>
      <c r="J5" s="17"/>
      <c r="K5" s="18"/>
    </row>
    <row r="6" spans="1:11" ht="13.5" thickBot="1" x14ac:dyDescent="0.25">
      <c r="A6" s="1"/>
      <c r="B6" s="16"/>
      <c r="C6" s="17"/>
      <c r="D6" s="7" t="s">
        <v>1</v>
      </c>
      <c r="E6" s="8"/>
      <c r="F6" s="4" t="s">
        <v>2</v>
      </c>
      <c r="G6" s="8"/>
      <c r="H6" s="17"/>
      <c r="I6" s="17"/>
      <c r="J6" s="17"/>
      <c r="K6" s="18"/>
    </row>
    <row r="7" spans="1:11" x14ac:dyDescent="0.2">
      <c r="A7" s="1"/>
      <c r="B7" s="19" t="s">
        <v>37</v>
      </c>
      <c r="C7" s="20" t="s">
        <v>3</v>
      </c>
      <c r="D7" s="21"/>
      <c r="E7" s="20" t="s">
        <v>14</v>
      </c>
      <c r="F7" s="20" t="s">
        <v>41</v>
      </c>
      <c r="G7" s="21"/>
      <c r="H7" s="20" t="s">
        <v>45</v>
      </c>
      <c r="I7" s="20" t="s">
        <v>45</v>
      </c>
      <c r="J7" s="21"/>
      <c r="K7" s="18"/>
    </row>
    <row r="8" spans="1:11" ht="13.5" thickBot="1" x14ac:dyDescent="0.25">
      <c r="A8" s="1"/>
      <c r="B8" s="22" t="s">
        <v>38</v>
      </c>
      <c r="C8" s="6" t="s">
        <v>2</v>
      </c>
      <c r="D8" s="6" t="s">
        <v>0</v>
      </c>
      <c r="E8" s="6" t="s">
        <v>39</v>
      </c>
      <c r="F8" s="6" t="s">
        <v>39</v>
      </c>
      <c r="G8" s="6" t="s">
        <v>43</v>
      </c>
      <c r="H8" s="6" t="s">
        <v>46</v>
      </c>
      <c r="I8" s="6" t="s">
        <v>47</v>
      </c>
      <c r="J8" s="6" t="s">
        <v>20</v>
      </c>
      <c r="K8" s="18"/>
    </row>
    <row r="9" spans="1:11" x14ac:dyDescent="0.2">
      <c r="A9" s="1"/>
      <c r="B9" s="16">
        <v>0</v>
      </c>
      <c r="C9" s="17">
        <f>+B9*$C$14/1000000</f>
        <v>0</v>
      </c>
      <c r="D9" s="56">
        <v>15</v>
      </c>
      <c r="E9" s="17">
        <f>+B9*$C$15/1000000</f>
        <v>0</v>
      </c>
      <c r="F9" s="23">
        <f>$C$16</f>
        <v>3</v>
      </c>
      <c r="G9" s="17">
        <f>($C$18/100)*(C9-E9-F9-$C$17)</f>
        <v>-2.25</v>
      </c>
      <c r="H9" s="24">
        <f>-PV($C$19/100,10,C9)</f>
        <v>0</v>
      </c>
      <c r="I9" s="24">
        <f>D9-PV($C$19/100,10,(E9+F9+G9))</f>
        <v>19.608425329278514</v>
      </c>
      <c r="J9" s="30">
        <f>+H9-I9</f>
        <v>-19.608425329278514</v>
      </c>
      <c r="K9" s="18"/>
    </row>
    <row r="10" spans="1:11" x14ac:dyDescent="0.2">
      <c r="A10" s="1"/>
      <c r="B10" s="16">
        <v>100</v>
      </c>
      <c r="C10" s="17">
        <f>+B10*$C$14/1000000</f>
        <v>37.5</v>
      </c>
      <c r="D10" s="25">
        <f>D9</f>
        <v>15</v>
      </c>
      <c r="E10" s="17">
        <f>+B10*$C$15/1000000</f>
        <v>30</v>
      </c>
      <c r="F10" s="23">
        <f>$C$16</f>
        <v>3</v>
      </c>
      <c r="G10" s="17">
        <f>($C$18/100)*(C10-E10-F10-$C$17)</f>
        <v>1.5</v>
      </c>
      <c r="H10" s="24">
        <f>-PV($C$19/100,10,C10)</f>
        <v>230.42126646392569</v>
      </c>
      <c r="I10" s="24">
        <f>D10-PV($C$19/100,10,(E10+F10+G10))</f>
        <v>226.98756514681165</v>
      </c>
      <c r="J10" s="30">
        <f>+H10-I10</f>
        <v>3.4337013171140427</v>
      </c>
      <c r="K10" s="18"/>
    </row>
    <row r="11" spans="1:11" x14ac:dyDescent="0.2">
      <c r="A11" s="1"/>
      <c r="B11" s="16">
        <v>200</v>
      </c>
      <c r="C11" s="26">
        <f>+B11*$C$14/1000000</f>
        <v>75</v>
      </c>
      <c r="D11" s="25">
        <f>D9</f>
        <v>15</v>
      </c>
      <c r="E11" s="17">
        <f>+B11*$C$15/1000000</f>
        <v>60</v>
      </c>
      <c r="F11" s="23">
        <f>$C$16</f>
        <v>3</v>
      </c>
      <c r="G11" s="17">
        <f>($C$18/100)*(C11-E11-F11-$C$17)</f>
        <v>5.25</v>
      </c>
      <c r="H11" s="24">
        <f>-PV($C$19/100,10,C11)</f>
        <v>460.84253292785138</v>
      </c>
      <c r="I11" s="24">
        <f>D11-PV($C$19/100,10,(E11+F11+G11))</f>
        <v>434.36670496434476</v>
      </c>
      <c r="J11" s="30">
        <f>+H11-I11</f>
        <v>26.475827963506617</v>
      </c>
      <c r="K11" s="18"/>
    </row>
    <row r="12" spans="1:11" x14ac:dyDescent="0.2">
      <c r="A12" s="1"/>
      <c r="B12" s="16"/>
      <c r="C12" s="17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1"/>
      <c r="B13" s="16" t="s">
        <v>23</v>
      </c>
      <c r="C13" s="17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1"/>
      <c r="B14" s="16" t="s">
        <v>24</v>
      </c>
      <c r="C14" s="54">
        <v>375000</v>
      </c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1"/>
      <c r="B15" s="16" t="s">
        <v>40</v>
      </c>
      <c r="C15" s="54">
        <v>300000</v>
      </c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"/>
      <c r="B16" s="16" t="s">
        <v>42</v>
      </c>
      <c r="C16" s="54">
        <v>3</v>
      </c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1"/>
      <c r="B17" s="16" t="s">
        <v>55</v>
      </c>
      <c r="C17" s="55">
        <v>1.5</v>
      </c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1"/>
      <c r="B18" s="16" t="s">
        <v>13</v>
      </c>
      <c r="C18" s="56">
        <v>50</v>
      </c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1"/>
      <c r="B19" s="27" t="s">
        <v>21</v>
      </c>
      <c r="C19" s="57">
        <v>10</v>
      </c>
      <c r="D19" s="28"/>
      <c r="E19" s="28"/>
      <c r="F19" s="28"/>
      <c r="G19" s="28"/>
      <c r="H19" s="28"/>
      <c r="I19" s="28"/>
      <c r="J19" s="28"/>
      <c r="K19" s="29"/>
    </row>
    <row r="20" spans="1:11" ht="20.25" customHeight="1" x14ac:dyDescent="0.2">
      <c r="A20" s="1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ht="25.5" customHeight="1" x14ac:dyDescent="0.2">
      <c r="A21" s="1"/>
      <c r="B21" s="95" t="s">
        <v>63</v>
      </c>
      <c r="C21" s="96"/>
      <c r="D21" s="96"/>
      <c r="E21" s="96"/>
      <c r="F21" s="96"/>
      <c r="G21" s="96"/>
      <c r="H21" s="96"/>
      <c r="I21" s="96"/>
      <c r="J21" s="96"/>
      <c r="K21" s="11"/>
    </row>
    <row r="22" spans="1:11" x14ac:dyDescent="0.2">
      <c r="A22" s="1"/>
      <c r="B22" s="98" t="s">
        <v>36</v>
      </c>
      <c r="C22" s="99"/>
      <c r="D22" s="99"/>
      <c r="E22" s="99"/>
      <c r="F22" s="99"/>
      <c r="G22" s="99"/>
      <c r="H22" s="99"/>
      <c r="I22" s="99"/>
      <c r="J22" s="99"/>
      <c r="K22" s="12"/>
    </row>
    <row r="23" spans="1:11" x14ac:dyDescent="0.2">
      <c r="A23" s="1"/>
      <c r="B23" s="13"/>
      <c r="C23" s="14"/>
      <c r="D23" s="14"/>
      <c r="E23" s="14"/>
      <c r="F23" s="14"/>
      <c r="G23" s="14"/>
      <c r="H23" s="14"/>
      <c r="I23" s="14"/>
      <c r="J23" s="14"/>
      <c r="K23" s="15"/>
    </row>
    <row r="24" spans="1:11" x14ac:dyDescent="0.2">
      <c r="A24" s="1"/>
      <c r="B24" s="31" t="s">
        <v>37</v>
      </c>
      <c r="C24" s="32" t="s">
        <v>3</v>
      </c>
      <c r="D24" s="32" t="s">
        <v>14</v>
      </c>
      <c r="E24" s="32" t="s">
        <v>41</v>
      </c>
      <c r="F24" s="14"/>
      <c r="G24" s="33"/>
      <c r="H24" s="32" t="s">
        <v>48</v>
      </c>
      <c r="I24" s="32" t="s">
        <v>49</v>
      </c>
      <c r="J24" s="14"/>
      <c r="K24" s="34"/>
    </row>
    <row r="25" spans="1:11" x14ac:dyDescent="0.2">
      <c r="A25" s="1"/>
      <c r="B25" s="35" t="s">
        <v>38</v>
      </c>
      <c r="C25" s="10" t="s">
        <v>2</v>
      </c>
      <c r="D25" s="10" t="s">
        <v>39</v>
      </c>
      <c r="E25" s="10" t="s">
        <v>39</v>
      </c>
      <c r="F25" s="41" t="s">
        <v>44</v>
      </c>
      <c r="G25" s="10" t="s">
        <v>43</v>
      </c>
      <c r="H25" s="10" t="s">
        <v>39</v>
      </c>
      <c r="I25" s="10" t="s">
        <v>50</v>
      </c>
      <c r="J25" s="14"/>
      <c r="K25" s="15"/>
    </row>
    <row r="26" spans="1:11" x14ac:dyDescent="0.2">
      <c r="A26" s="1"/>
      <c r="B26" s="42">
        <v>0</v>
      </c>
      <c r="C26" s="33">
        <f>+B26*$C$14/1000000</f>
        <v>0</v>
      </c>
      <c r="D26" s="33">
        <f>+B26*$C$15/1000000</f>
        <v>0</v>
      </c>
      <c r="E26" s="43">
        <f>$C$16</f>
        <v>3</v>
      </c>
      <c r="F26" s="44">
        <f>$C$17</f>
        <v>1.5</v>
      </c>
      <c r="G26" s="33">
        <f>($C$18/100)*(C26-D26-E26-$C$17)</f>
        <v>-2.25</v>
      </c>
      <c r="H26" s="45">
        <f>SUM(D26:G26)</f>
        <v>2.25</v>
      </c>
      <c r="I26" s="46">
        <f>+C26-H26</f>
        <v>-2.25</v>
      </c>
      <c r="J26" s="14"/>
      <c r="K26" s="12"/>
    </row>
    <row r="27" spans="1:11" x14ac:dyDescent="0.2">
      <c r="A27" s="1"/>
      <c r="B27" s="42">
        <v>100</v>
      </c>
      <c r="C27" s="33">
        <f>+B27*$C$14/1000000</f>
        <v>37.5</v>
      </c>
      <c r="D27" s="33">
        <f>+B27*$C$15/1000000</f>
        <v>30</v>
      </c>
      <c r="E27" s="43">
        <f>$C$16</f>
        <v>3</v>
      </c>
      <c r="F27" s="44">
        <f>$C$17</f>
        <v>1.5</v>
      </c>
      <c r="G27" s="33">
        <f>($C$18/100)*(C27-D27-E27-$C$17)</f>
        <v>1.5</v>
      </c>
      <c r="H27" s="45">
        <f>SUM(D27:G27)</f>
        <v>36</v>
      </c>
      <c r="I27" s="46">
        <f>+C27-H27</f>
        <v>1.5</v>
      </c>
      <c r="J27" s="14"/>
      <c r="K27" s="36"/>
    </row>
    <row r="28" spans="1:11" x14ac:dyDescent="0.2">
      <c r="A28" s="1"/>
      <c r="B28" s="42">
        <v>200</v>
      </c>
      <c r="C28" s="47">
        <f>+B28*$C$14/1000000</f>
        <v>75</v>
      </c>
      <c r="D28" s="33">
        <f>+B28*$C$15/1000000</f>
        <v>60</v>
      </c>
      <c r="E28" s="43">
        <f>$C$16</f>
        <v>3</v>
      </c>
      <c r="F28" s="44">
        <f>$C$17</f>
        <v>1.5</v>
      </c>
      <c r="G28" s="33">
        <f>($C$18/100)*(C28-D28-E28-$C$17)</f>
        <v>5.25</v>
      </c>
      <c r="H28" s="45">
        <f>SUM(D28:G28)</f>
        <v>69.75</v>
      </c>
      <c r="I28" s="46">
        <f>+C28-H28</f>
        <v>5.25</v>
      </c>
      <c r="J28" s="14"/>
      <c r="K28" s="36"/>
    </row>
    <row r="29" spans="1:11" x14ac:dyDescent="0.2">
      <c r="A29" s="1"/>
      <c r="B29" s="37"/>
      <c r="C29" s="38"/>
      <c r="D29" s="38"/>
      <c r="E29" s="38"/>
      <c r="F29" s="38"/>
      <c r="G29" s="38"/>
      <c r="H29" s="38"/>
      <c r="I29" s="38"/>
      <c r="J29" s="38"/>
      <c r="K29" s="39"/>
    </row>
  </sheetData>
  <sheetProtection password="DC54" sheet="1" objects="1" scenarios="1"/>
  <mergeCells count="3">
    <mergeCell ref="B21:J21"/>
    <mergeCell ref="B22:J22"/>
    <mergeCell ref="B3:K3"/>
  </mergeCells>
  <phoneticPr fontId="0" type="noConversion"/>
  <dataValidations count="2">
    <dataValidation type="decimal" allowBlank="1" showInputMessage="1" showErrorMessage="1" sqref="C18:C19">
      <formula1>0</formula1>
      <formula2>100</formula2>
    </dataValidation>
    <dataValidation type="decimal" operator="greaterThanOrEqual" allowBlank="1" showInputMessage="1" showErrorMessage="1" sqref="C14:C17 B9:B11 B26:B28">
      <formula1>0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10.1</vt:lpstr>
      <vt:lpstr>TABLE 10.2</vt:lpstr>
      <vt:lpstr>TABLE 10.3</vt:lpstr>
      <vt:lpstr>TABLES 10.4-10.5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Brealey</dc:creator>
  <cp:lastModifiedBy>IT Operations</cp:lastModifiedBy>
  <dcterms:created xsi:type="dcterms:W3CDTF">2004-01-29T18:21:15Z</dcterms:created>
  <dcterms:modified xsi:type="dcterms:W3CDTF">2012-11-23T08:17:50Z</dcterms:modified>
</cp:coreProperties>
</file>