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55" windowWidth="15480" windowHeight="11040"/>
  </bookViews>
  <sheets>
    <sheet name="TABLE 19.1" sheetId="1" r:id="rId1"/>
    <sheet name="FIGURE 19.1" sheetId="3" r:id="rId2"/>
    <sheet name="TABLE 19.2" sheetId="2" r:id="rId3"/>
  </sheets>
  <calcPr calcId="145621"/>
</workbook>
</file>

<file path=xl/calcChain.xml><?xml version="1.0" encoding="utf-8"?>
<calcChain xmlns="http://schemas.openxmlformats.org/spreadsheetml/2006/main">
  <c r="B28" i="3" l="1"/>
  <c r="B29" i="3"/>
  <c r="C28" i="3"/>
  <c r="D36" i="1"/>
  <c r="E26" i="1"/>
  <c r="E9" i="1"/>
  <c r="F9" i="1"/>
  <c r="E42" i="1"/>
  <c r="E12" i="1"/>
  <c r="E41" i="1"/>
  <c r="E10" i="1"/>
  <c r="E13" i="1"/>
  <c r="E43" i="1"/>
  <c r="E18" i="1"/>
  <c r="D40" i="1"/>
  <c r="D13" i="1"/>
  <c r="D14" i="1"/>
  <c r="D30" i="1"/>
  <c r="E11" i="1"/>
  <c r="D11" i="1"/>
  <c r="D28" i="1"/>
  <c r="D27" i="1"/>
  <c r="D26" i="1"/>
  <c r="D15" i="1"/>
  <c r="D19" i="1"/>
  <c r="C8" i="2"/>
  <c r="C24" i="2"/>
  <c r="E27" i="3"/>
  <c r="E38" i="3" s="1"/>
  <c r="C23" i="2"/>
  <c r="D27" i="3" s="1"/>
  <c r="C22" i="2"/>
  <c r="E15" i="2"/>
  <c r="E16" i="2" s="1"/>
  <c r="G15" i="2"/>
  <c r="G16" i="2"/>
  <c r="I15" i="2"/>
  <c r="I16" i="2"/>
  <c r="H15" i="2"/>
  <c r="H16" i="2" s="1"/>
  <c r="F15" i="2"/>
  <c r="F16" i="2" s="1"/>
  <c r="D15" i="2"/>
  <c r="D16" i="2" s="1"/>
  <c r="C17" i="2" s="1"/>
  <c r="E29" i="3"/>
  <c r="E31" i="3"/>
  <c r="E33" i="3"/>
  <c r="E35" i="3"/>
  <c r="E37" i="3"/>
  <c r="E39" i="3"/>
  <c r="E40" i="3" s="1"/>
  <c r="E28" i="3"/>
  <c r="E30" i="3"/>
  <c r="E32" i="3"/>
  <c r="E34" i="3"/>
  <c r="E36" i="3"/>
  <c r="E14" i="1"/>
  <c r="E15" i="1"/>
  <c r="E19" i="1"/>
  <c r="F42" i="1"/>
  <c r="F12" i="1"/>
  <c r="F10" i="1"/>
  <c r="F11" i="1"/>
  <c r="F43" i="1"/>
  <c r="F18" i="1"/>
  <c r="G9" i="1"/>
  <c r="F13" i="1"/>
  <c r="F41" i="1"/>
  <c r="E40" i="1"/>
  <c r="E17" i="1"/>
  <c r="B30" i="3"/>
  <c r="C29" i="3"/>
  <c r="D8" i="2"/>
  <c r="C30" i="3"/>
  <c r="B31" i="3"/>
  <c r="F40" i="1"/>
  <c r="F17" i="1"/>
  <c r="H9" i="1"/>
  <c r="G42" i="1"/>
  <c r="G12" i="1"/>
  <c r="G41" i="1"/>
  <c r="G11" i="1"/>
  <c r="G10" i="1"/>
  <c r="G13" i="1"/>
  <c r="G43" i="1"/>
  <c r="G18" i="1"/>
  <c r="F14" i="1"/>
  <c r="F15" i="1"/>
  <c r="F19" i="1"/>
  <c r="E8" i="2"/>
  <c r="G40" i="1"/>
  <c r="G17" i="1"/>
  <c r="G14" i="1"/>
  <c r="G15" i="1"/>
  <c r="G19" i="1"/>
  <c r="H42" i="1"/>
  <c r="H12" i="1"/>
  <c r="H41" i="1"/>
  <c r="I9" i="1"/>
  <c r="H10" i="1"/>
  <c r="H43" i="1"/>
  <c r="H18" i="1"/>
  <c r="H11" i="1"/>
  <c r="H13" i="1"/>
  <c r="B32" i="3"/>
  <c r="C31" i="3"/>
  <c r="F8" i="2"/>
  <c r="H40" i="1"/>
  <c r="H17" i="1"/>
  <c r="H14" i="1"/>
  <c r="H15" i="1"/>
  <c r="H19" i="1"/>
  <c r="G8" i="2"/>
  <c r="J9" i="1"/>
  <c r="I42" i="1"/>
  <c r="I12" i="1"/>
  <c r="I41" i="1"/>
  <c r="I11" i="1"/>
  <c r="I10" i="1"/>
  <c r="I13" i="1"/>
  <c r="I43" i="1"/>
  <c r="I18" i="1"/>
  <c r="C32" i="3"/>
  <c r="B33" i="3"/>
  <c r="I15" i="1"/>
  <c r="I19" i="1"/>
  <c r="H8" i="2"/>
  <c r="I14" i="1"/>
  <c r="J41" i="1"/>
  <c r="I40" i="1"/>
  <c r="I17" i="1"/>
  <c r="B34" i="3"/>
  <c r="C33" i="3"/>
  <c r="J42" i="1"/>
  <c r="J12" i="1"/>
  <c r="K9" i="1"/>
  <c r="J43" i="1"/>
  <c r="J18" i="1"/>
  <c r="J10" i="1"/>
  <c r="J11" i="1"/>
  <c r="J13" i="1"/>
  <c r="K10" i="1"/>
  <c r="K13" i="1"/>
  <c r="K43" i="1"/>
  <c r="K18" i="1"/>
  <c r="K42" i="1"/>
  <c r="K12" i="1"/>
  <c r="K11" i="1"/>
  <c r="C34" i="3"/>
  <c r="B35" i="3"/>
  <c r="K41" i="1"/>
  <c r="K40" i="1"/>
  <c r="K17" i="1"/>
  <c r="J40" i="1"/>
  <c r="J17" i="1"/>
  <c r="K14" i="1"/>
  <c r="K15" i="1"/>
  <c r="K19" i="1"/>
  <c r="B36" i="3"/>
  <c r="C35" i="3"/>
  <c r="J14" i="1"/>
  <c r="J15" i="1"/>
  <c r="J19" i="1"/>
  <c r="I8" i="2"/>
  <c r="C10" i="2"/>
  <c r="D21" i="1"/>
  <c r="J22" i="1"/>
  <c r="J8" i="2"/>
  <c r="C36" i="3"/>
  <c r="B37" i="3"/>
  <c r="B38" i="3"/>
  <c r="C37" i="3"/>
  <c r="D22" i="1"/>
  <c r="D23" i="1"/>
  <c r="I11" i="2"/>
  <c r="C11" i="2"/>
  <c r="C38" i="3"/>
  <c r="B39" i="3"/>
  <c r="B40" i="3"/>
  <c r="C39" i="3"/>
  <c r="C40" i="3"/>
  <c r="B41" i="3"/>
  <c r="B42" i="3"/>
  <c r="C41" i="3"/>
  <c r="C42" i="3"/>
  <c r="B43" i="3"/>
  <c r="B44" i="3"/>
  <c r="C43" i="3"/>
  <c r="C44" i="3"/>
  <c r="B45" i="3"/>
  <c r="B46" i="3"/>
  <c r="C45" i="3"/>
  <c r="B47" i="3"/>
  <c r="C46" i="3"/>
  <c r="B48" i="3"/>
  <c r="C47" i="3"/>
  <c r="B49" i="3"/>
  <c r="C48" i="3"/>
  <c r="B50" i="3"/>
  <c r="C49" i="3"/>
  <c r="B51" i="3"/>
  <c r="C50" i="3"/>
  <c r="B52" i="3"/>
  <c r="C51" i="3"/>
  <c r="B53" i="3"/>
  <c r="C52" i="3"/>
  <c r="B54" i="3"/>
  <c r="C53" i="3"/>
  <c r="B55" i="3"/>
  <c r="C54" i="3"/>
  <c r="B56" i="3"/>
  <c r="C55" i="3"/>
  <c r="B57" i="3"/>
  <c r="C56" i="3"/>
  <c r="C57" i="3"/>
  <c r="E41" i="3" l="1"/>
  <c r="C12" i="2"/>
  <c r="C19" i="2" s="1"/>
  <c r="D57" i="3"/>
  <c r="D52" i="3"/>
  <c r="D44" i="3"/>
  <c r="D36" i="3"/>
  <c r="D28" i="3"/>
  <c r="D50" i="3"/>
  <c r="D42" i="3"/>
  <c r="D34" i="3"/>
  <c r="D56" i="3"/>
  <c r="D48" i="3"/>
  <c r="D40" i="3"/>
  <c r="D32" i="3"/>
  <c r="D54" i="3"/>
  <c r="D46" i="3"/>
  <c r="D38" i="3"/>
  <c r="D30" i="3"/>
  <c r="D29" i="3"/>
  <c r="D33" i="3"/>
  <c r="D37" i="3"/>
  <c r="D41" i="3"/>
  <c r="D45" i="3"/>
  <c r="D49" i="3"/>
  <c r="D53" i="3"/>
  <c r="F27" i="3"/>
  <c r="D31" i="3"/>
  <c r="D35" i="3"/>
  <c r="D39" i="3"/>
  <c r="D43" i="3"/>
  <c r="D47" i="3"/>
  <c r="D51" i="3"/>
  <c r="D55" i="3"/>
  <c r="E42" i="3" l="1"/>
  <c r="F28" i="3"/>
  <c r="G28" i="3" s="1"/>
  <c r="F29" i="3"/>
  <c r="G29" i="3" s="1"/>
  <c r="F30" i="3"/>
  <c r="G30" i="3" s="1"/>
  <c r="F39" i="3"/>
  <c r="G39" i="3" s="1"/>
  <c r="F41" i="3"/>
  <c r="G41" i="3" s="1"/>
  <c r="G27" i="3"/>
  <c r="F31" i="3"/>
  <c r="G31" i="3" s="1"/>
  <c r="F32" i="3"/>
  <c r="G32" i="3" s="1"/>
  <c r="F33" i="3"/>
  <c r="G33" i="3" s="1"/>
  <c r="F34" i="3"/>
  <c r="G34" i="3" s="1"/>
  <c r="F35" i="3"/>
  <c r="G35" i="3" s="1"/>
  <c r="F36" i="3"/>
  <c r="G36" i="3" s="1"/>
  <c r="F37" i="3"/>
  <c r="G37" i="3" s="1"/>
  <c r="F40" i="3"/>
  <c r="G40" i="3" s="1"/>
  <c r="F38" i="3"/>
  <c r="G38" i="3" s="1"/>
  <c r="F42" i="3"/>
  <c r="F43" i="3"/>
  <c r="E43" i="3" l="1"/>
  <c r="G42" i="3"/>
  <c r="E44" i="3" l="1"/>
  <c r="G43" i="3"/>
  <c r="F44" i="3"/>
  <c r="G44" i="3" l="1"/>
  <c r="E45" i="3"/>
  <c r="F45" i="3"/>
  <c r="E46" i="3" l="1"/>
  <c r="G45" i="3"/>
  <c r="F46" i="3"/>
  <c r="G46" i="3" l="1"/>
  <c r="E47" i="3"/>
  <c r="F47" i="3"/>
  <c r="E48" i="3" l="1"/>
  <c r="G47" i="3"/>
  <c r="F48" i="3"/>
  <c r="G48" i="3" l="1"/>
  <c r="E49" i="3"/>
  <c r="F49" i="3"/>
  <c r="E50" i="3" l="1"/>
  <c r="G49" i="3"/>
  <c r="F50" i="3"/>
  <c r="E51" i="3" l="1"/>
  <c r="G50" i="3"/>
  <c r="F51" i="3"/>
  <c r="E52" i="3" l="1"/>
  <c r="G51" i="3"/>
  <c r="F52" i="3"/>
  <c r="G52" i="3" l="1"/>
  <c r="E53" i="3"/>
  <c r="F53" i="3"/>
  <c r="E54" i="3" l="1"/>
  <c r="G53" i="3"/>
  <c r="F54" i="3"/>
  <c r="G54" i="3" l="1"/>
  <c r="E55" i="3"/>
  <c r="F55" i="3"/>
  <c r="E56" i="3" l="1"/>
  <c r="G55" i="3"/>
  <c r="F56" i="3"/>
  <c r="G56" i="3" l="1"/>
  <c r="E57" i="3"/>
  <c r="F57" i="3"/>
  <c r="G57" i="3" l="1"/>
</calcChain>
</file>

<file path=xl/sharedStrings.xml><?xml version="1.0" encoding="utf-8"?>
<sst xmlns="http://schemas.openxmlformats.org/spreadsheetml/2006/main" count="76" uniqueCount="68">
  <si>
    <t>Forecast</t>
  </si>
  <si>
    <t>1.</t>
  </si>
  <si>
    <t>Sales</t>
  </si>
  <si>
    <t>Cost of goods sold</t>
  </si>
  <si>
    <t>5.</t>
  </si>
  <si>
    <t>6.</t>
  </si>
  <si>
    <t>7.</t>
  </si>
  <si>
    <t xml:space="preserve">Tax </t>
  </si>
  <si>
    <t>8.</t>
  </si>
  <si>
    <t>9.</t>
  </si>
  <si>
    <t>10.</t>
  </si>
  <si>
    <t>Working capital (percent of sales)</t>
  </si>
  <si>
    <t>Tax rate, percent</t>
  </si>
  <si>
    <t xml:space="preserve">Depreciation </t>
  </si>
  <si>
    <t>Sales growth (percent)</t>
  </si>
  <si>
    <t>Costs (percent of sales)</t>
  </si>
  <si>
    <t xml:space="preserve">Latest </t>
  </si>
  <si>
    <t>year</t>
  </si>
  <si>
    <t>Gross fixed assets</t>
  </si>
  <si>
    <t>Net fixed assets</t>
  </si>
  <si>
    <t>Net fixed assets (percent of sales)</t>
  </si>
  <si>
    <t>Depreciation (percent of net fixed assets)</t>
  </si>
  <si>
    <t>2.</t>
  </si>
  <si>
    <t>3.</t>
  </si>
  <si>
    <t>4.</t>
  </si>
  <si>
    <t>Investment in working capital</t>
  </si>
  <si>
    <t>Investment in fixed assets</t>
  </si>
  <si>
    <r>
      <t>Less</t>
    </r>
    <r>
      <rPr>
        <sz val="10"/>
        <rFont val="Arial"/>
        <family val="2"/>
      </rPr>
      <t xml:space="preserve"> accumulated depreciation</t>
    </r>
  </si>
  <si>
    <t>PV Free cash flow, years 1-6</t>
  </si>
  <si>
    <t xml:space="preserve">PV Horizon value </t>
  </si>
  <si>
    <t>(Horizon value in year 6)</t>
  </si>
  <si>
    <t>Fixed assets and working capital</t>
  </si>
  <si>
    <t xml:space="preserve">Profit before tax  (EBIT)  (3 - 4) </t>
  </si>
  <si>
    <t>Profit after tax (5 - 6)</t>
  </si>
  <si>
    <t>Free cash flow (7 + 4 - 8 - 9)</t>
  </si>
  <si>
    <t>EBITDA (1 - 2)</t>
  </si>
  <si>
    <t>PV of company</t>
  </si>
  <si>
    <t>Assumptions:</t>
  </si>
  <si>
    <t>Net working capital</t>
  </si>
  <si>
    <t xml:space="preserve">WACC, percent </t>
  </si>
  <si>
    <t>Long-term growth forecast, percent</t>
  </si>
  <si>
    <t xml:space="preserve">Free cash flow </t>
  </si>
  <si>
    <t>Base-Case PV of company</t>
  </si>
  <si>
    <t>Interest rate</t>
  </si>
  <si>
    <t>Debt</t>
  </si>
  <si>
    <t>Interest</t>
  </si>
  <si>
    <t>Interest tax shield</t>
  </si>
  <si>
    <t>PV Interest tax shields</t>
  </si>
  <si>
    <t>APV</t>
  </si>
  <si>
    <t>Debt ratio (D/V)</t>
  </si>
  <si>
    <r>
      <t>Opportunity cost of capital, percent (</t>
    </r>
    <r>
      <rPr>
        <i/>
        <sz val="10"/>
        <rFont val="Arial"/>
        <family val="2"/>
      </rPr>
      <t>r</t>
    </r>
    <r>
      <rPr>
        <sz val="10"/>
        <rFont val="Arial"/>
        <family val="2"/>
      </rPr>
      <t>)</t>
    </r>
  </si>
  <si>
    <r>
      <t>Cost of debt, percent (</t>
    </r>
    <r>
      <rPr>
        <i/>
        <sz val="10"/>
        <rFont val="Arial"/>
        <family val="2"/>
      </rPr>
      <t>r</t>
    </r>
    <r>
      <rPr>
        <i/>
        <vertAlign val="subscript"/>
        <sz val="10"/>
        <rFont val="Arial"/>
        <family val="2"/>
      </rPr>
      <t>D</t>
    </r>
    <r>
      <rPr>
        <sz val="10"/>
        <rFont val="Arial"/>
        <family val="2"/>
      </rPr>
      <t>)</t>
    </r>
  </si>
  <si>
    <r>
      <t>Cost of equity, percent (</t>
    </r>
    <r>
      <rPr>
        <i/>
        <sz val="10"/>
        <rFont val="Arial"/>
        <family val="2"/>
      </rPr>
      <t>r</t>
    </r>
    <r>
      <rPr>
        <i/>
        <vertAlign val="subscript"/>
        <sz val="10"/>
        <rFont val="Arial"/>
        <family val="2"/>
      </rPr>
      <t>E</t>
    </r>
    <r>
      <rPr>
        <sz val="10"/>
        <rFont val="Arial"/>
        <family val="2"/>
      </rPr>
      <t>)</t>
    </r>
  </si>
  <si>
    <r>
      <t>TABLE 19.1  Free cash flow projections and company value for Rio Corporation ($ millions)</t>
    </r>
    <r>
      <rPr>
        <b/>
        <sz val="10"/>
        <rFont val="Arial"/>
        <family val="2"/>
      </rPr>
      <t xml:space="preserve"> </t>
    </r>
  </si>
  <si>
    <r>
      <t>TABLE 19.2  APV valuation of Rio Corporation ($ millions)</t>
    </r>
    <r>
      <rPr>
        <b/>
        <sz val="10"/>
        <rFont val="Arial"/>
        <family val="2"/>
      </rPr>
      <t xml:space="preserve"> </t>
    </r>
  </si>
  <si>
    <t>D/E</t>
  </si>
  <si>
    <t>D/V</t>
  </si>
  <si>
    <t>Opportunity cost</t>
  </si>
  <si>
    <t xml:space="preserve">Cost of </t>
  </si>
  <si>
    <t>debt (rD)</t>
  </si>
  <si>
    <t>Cost of</t>
  </si>
  <si>
    <t>equity (rE)</t>
  </si>
  <si>
    <t>WACC</t>
  </si>
  <si>
    <t>of capital (r)</t>
  </si>
  <si>
    <t>Figure 19.1  WACC  at different debt-equity ratios</t>
  </si>
  <si>
    <t xml:space="preserve">Note:  We arbitrarily assume that the expected return on the debt is initially flat and </t>
  </si>
  <si>
    <t>then increases steadily.</t>
  </si>
  <si>
    <t>Note:  You can change any of the cells shaded green.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</si>
</sst>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%"/>
    <numFmt numFmtId="165" formatCode="0.0"/>
    <numFmt numFmtId="166" formatCode="#,##0.0"/>
    <numFmt numFmtId="167" formatCode="0.000"/>
  </numFmts>
  <fonts count="6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u/>
      <sz val="10"/>
      <name val="Arial"/>
      <family val="2"/>
    </font>
    <font>
      <i/>
      <vertAlign val="subscript"/>
      <sz val="10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2" borderId="0" xfId="0" applyFill="1"/>
    <xf numFmtId="49" fontId="0" fillId="2" borderId="0" xfId="0" applyNumberFormat="1" applyFill="1"/>
    <xf numFmtId="0" fontId="1" fillId="3" borderId="0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3" borderId="1" xfId="0" applyFill="1" applyBorder="1"/>
    <xf numFmtId="0" fontId="0" fillId="3" borderId="4" xfId="0" applyFill="1" applyBorder="1"/>
    <xf numFmtId="0" fontId="1" fillId="3" borderId="5" xfId="0" applyFont="1" applyFill="1" applyBorder="1" applyAlignment="1">
      <alignment horizontal="center"/>
    </xf>
    <xf numFmtId="0" fontId="0" fillId="3" borderId="0" xfId="0" applyFill="1" applyBorder="1"/>
    <xf numFmtId="0" fontId="0" fillId="3" borderId="6" xfId="0" applyFill="1" applyBorder="1"/>
    <xf numFmtId="0" fontId="0" fillId="3" borderId="5" xfId="0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0" fillId="3" borderId="5" xfId="0" quotePrefix="1" applyFill="1" applyBorder="1" applyAlignment="1">
      <alignment horizontal="center"/>
    </xf>
    <xf numFmtId="165" fontId="0" fillId="3" borderId="0" xfId="0" applyNumberFormat="1" applyFill="1" applyBorder="1"/>
    <xf numFmtId="165" fontId="0" fillId="3" borderId="6" xfId="0" applyNumberFormat="1" applyFill="1" applyBorder="1"/>
    <xf numFmtId="49" fontId="0" fillId="3" borderId="5" xfId="0" applyNumberFormat="1" applyFill="1" applyBorder="1" applyAlignment="1">
      <alignment horizontal="center"/>
    </xf>
    <xf numFmtId="0" fontId="1" fillId="3" borderId="0" xfId="0" applyFont="1" applyFill="1" applyBorder="1"/>
    <xf numFmtId="165" fontId="1" fillId="3" borderId="0" xfId="0" applyNumberFormat="1" applyFont="1" applyFill="1" applyBorder="1"/>
    <xf numFmtId="1" fontId="0" fillId="3" borderId="0" xfId="0" applyNumberFormat="1" applyFill="1" applyBorder="1"/>
    <xf numFmtId="165" fontId="0" fillId="4" borderId="0" xfId="0" applyNumberFormat="1" applyFill="1" applyBorder="1" applyProtection="1">
      <protection locked="0"/>
    </xf>
    <xf numFmtId="166" fontId="0" fillId="3" borderId="6" xfId="0" applyNumberFormat="1" applyFill="1" applyBorder="1"/>
    <xf numFmtId="165" fontId="0" fillId="3" borderId="0" xfId="0" applyNumberFormat="1" applyFill="1" applyBorder="1" applyProtection="1">
      <protection locked="0"/>
    </xf>
    <xf numFmtId="164" fontId="0" fillId="3" borderId="0" xfId="0" applyNumberFormat="1" applyFill="1" applyBorder="1"/>
    <xf numFmtId="166" fontId="0" fillId="3" borderId="0" xfId="0" applyNumberFormat="1" applyFill="1" applyBorder="1"/>
    <xf numFmtId="49" fontId="0" fillId="3" borderId="5" xfId="0" applyNumberFormat="1" applyFill="1" applyBorder="1"/>
    <xf numFmtId="0" fontId="2" fillId="3" borderId="0" xfId="0" applyFont="1" applyFill="1" applyBorder="1"/>
    <xf numFmtId="49" fontId="0" fillId="3" borderId="7" xfId="0" applyNumberFormat="1" applyFill="1" applyBorder="1"/>
    <xf numFmtId="0" fontId="0" fillId="3" borderId="8" xfId="0" applyFill="1" applyBorder="1"/>
    <xf numFmtId="0" fontId="0" fillId="3" borderId="9" xfId="0" applyFill="1" applyBorder="1"/>
    <xf numFmtId="0" fontId="3" fillId="3" borderId="5" xfId="0" applyFont="1" applyFill="1" applyBorder="1" applyAlignment="1">
      <alignment horizontal="center"/>
    </xf>
    <xf numFmtId="0" fontId="0" fillId="3" borderId="5" xfId="0" applyFill="1" applyBorder="1"/>
    <xf numFmtId="0" fontId="0" fillId="3" borderId="10" xfId="0" applyFill="1" applyBorder="1"/>
    <xf numFmtId="0" fontId="3" fillId="3" borderId="6" xfId="0" applyFont="1" applyFill="1" applyBorder="1" applyAlignment="1">
      <alignment horizontal="center"/>
    </xf>
    <xf numFmtId="0" fontId="1" fillId="3" borderId="5" xfId="0" applyFont="1" applyFill="1" applyBorder="1"/>
    <xf numFmtId="0" fontId="0" fillId="4" borderId="0" xfId="0" applyFill="1" applyBorder="1" applyProtection="1">
      <protection locked="0"/>
    </xf>
    <xf numFmtId="2" fontId="0" fillId="3" borderId="0" xfId="0" applyNumberFormat="1" applyFill="1" applyBorder="1"/>
    <xf numFmtId="0" fontId="0" fillId="3" borderId="7" xfId="0" applyFill="1" applyBorder="1"/>
    <xf numFmtId="0" fontId="0" fillId="5" borderId="0" xfId="0" applyFill="1"/>
    <xf numFmtId="165" fontId="1" fillId="6" borderId="0" xfId="0" applyNumberFormat="1" applyFont="1" applyFill="1" applyBorder="1"/>
    <xf numFmtId="0" fontId="3" fillId="3" borderId="5" xfId="0" applyFont="1" applyFill="1" applyBorder="1" applyAlignment="1">
      <alignment horizontal="center"/>
    </xf>
    <xf numFmtId="0" fontId="0" fillId="3" borderId="0" xfId="0" applyFill="1"/>
    <xf numFmtId="0" fontId="0" fillId="3" borderId="2" xfId="0" applyFill="1" applyBorder="1"/>
    <xf numFmtId="0" fontId="0" fillId="3" borderId="3" xfId="0" applyFill="1" applyBorder="1"/>
    <xf numFmtId="167" fontId="0" fillId="3" borderId="0" xfId="0" applyNumberFormat="1" applyFill="1" applyBorder="1"/>
    <xf numFmtId="2" fontId="0" fillId="3" borderId="0" xfId="0" applyNumberFormat="1" applyFill="1" applyBorder="1" applyAlignment="1">
      <alignment horizontal="center"/>
    </xf>
    <xf numFmtId="0" fontId="5" fillId="3" borderId="0" xfId="0" quotePrefix="1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5" fillId="3" borderId="5" xfId="0" applyFont="1" applyFill="1" applyBorder="1"/>
    <xf numFmtId="0" fontId="1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165" fontId="1" fillId="3" borderId="0" xfId="0" applyNumberFormat="1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0" fillId="0" borderId="0" xfId="0" applyAlignment="1"/>
    <xf numFmtId="0" fontId="0" fillId="0" borderId="6" xfId="0" applyBorder="1" applyAlignment="1"/>
    <xf numFmtId="0" fontId="1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5" fillId="3" borderId="5" xfId="0" applyFont="1" applyFill="1" applyBorder="1" applyAlignment="1"/>
    <xf numFmtId="0" fontId="0" fillId="3" borderId="0" xfId="0" applyFill="1" applyBorder="1" applyAlignment="1"/>
    <xf numFmtId="0" fontId="0" fillId="3" borderId="6" xfId="0" applyFill="1" applyBorder="1" applyAlignment="1"/>
    <xf numFmtId="0" fontId="1" fillId="3" borderId="4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165" fontId="0" fillId="3" borderId="6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161713997228194"/>
          <c:y val="8.8524590163934422E-2"/>
          <c:w val="0.61277564553635999"/>
          <c:h val="0.62950819672131153"/>
        </c:manualLayout>
      </c:layout>
      <c:lineChart>
        <c:grouping val="standard"/>
        <c:varyColors val="0"/>
        <c:ser>
          <c:idx val="0"/>
          <c:order val="0"/>
          <c:tx>
            <c:v>rE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'FIGURE 19.1'!$B$27:$B$57</c:f>
              <c:numCache>
                <c:formatCode>General</c:formatCode>
                <c:ptCount val="3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0.15000000000000002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0.39999999999999997</c:v>
                </c:pt>
                <c:pt idx="9">
                  <c:v>0.44999999999999996</c:v>
                </c:pt>
                <c:pt idx="10">
                  <c:v>0.49999999999999994</c:v>
                </c:pt>
                <c:pt idx="11">
                  <c:v>0.54999999999999993</c:v>
                </c:pt>
                <c:pt idx="12">
                  <c:v>0.6</c:v>
                </c:pt>
                <c:pt idx="13">
                  <c:v>0.65</c:v>
                </c:pt>
                <c:pt idx="14">
                  <c:v>0.70000000000000007</c:v>
                </c:pt>
                <c:pt idx="15">
                  <c:v>0.75000000000000011</c:v>
                </c:pt>
                <c:pt idx="16">
                  <c:v>0.80000000000000016</c:v>
                </c:pt>
                <c:pt idx="17">
                  <c:v>0.8500000000000002</c:v>
                </c:pt>
                <c:pt idx="18">
                  <c:v>0.90000000000000024</c:v>
                </c:pt>
                <c:pt idx="19">
                  <c:v>0.95000000000000029</c:v>
                </c:pt>
                <c:pt idx="20">
                  <c:v>1.0000000000000002</c:v>
                </c:pt>
                <c:pt idx="21">
                  <c:v>1.0500000000000003</c:v>
                </c:pt>
                <c:pt idx="22">
                  <c:v>1.1000000000000003</c:v>
                </c:pt>
                <c:pt idx="23">
                  <c:v>1.1500000000000004</c:v>
                </c:pt>
                <c:pt idx="24">
                  <c:v>1.2000000000000004</c:v>
                </c:pt>
                <c:pt idx="25">
                  <c:v>1.2500000000000004</c:v>
                </c:pt>
                <c:pt idx="26">
                  <c:v>1.3000000000000005</c:v>
                </c:pt>
                <c:pt idx="27">
                  <c:v>1.3500000000000005</c:v>
                </c:pt>
                <c:pt idx="28">
                  <c:v>1.4000000000000006</c:v>
                </c:pt>
                <c:pt idx="29">
                  <c:v>1.4500000000000006</c:v>
                </c:pt>
                <c:pt idx="30">
                  <c:v>1.5000000000000007</c:v>
                </c:pt>
              </c:numCache>
            </c:numRef>
          </c:cat>
          <c:val>
            <c:numRef>
              <c:f>'FIGURE 19.1'!$F$27:$F$57</c:f>
              <c:numCache>
                <c:formatCode>0.00</c:formatCode>
                <c:ptCount val="31"/>
                <c:pt idx="0">
                  <c:v>9.84</c:v>
                </c:pt>
                <c:pt idx="1">
                  <c:v>10.032</c:v>
                </c:pt>
                <c:pt idx="2">
                  <c:v>10.224</c:v>
                </c:pt>
                <c:pt idx="3">
                  <c:v>10.416</c:v>
                </c:pt>
                <c:pt idx="4">
                  <c:v>10.608000000000001</c:v>
                </c:pt>
                <c:pt idx="5">
                  <c:v>10.8</c:v>
                </c:pt>
                <c:pt idx="6">
                  <c:v>10.991999999999999</c:v>
                </c:pt>
                <c:pt idx="7">
                  <c:v>11.183999999999999</c:v>
                </c:pt>
                <c:pt idx="8">
                  <c:v>11.375999999999999</c:v>
                </c:pt>
                <c:pt idx="9">
                  <c:v>11.568</c:v>
                </c:pt>
                <c:pt idx="10">
                  <c:v>11.76</c:v>
                </c:pt>
                <c:pt idx="11">
                  <c:v>11.952</c:v>
                </c:pt>
                <c:pt idx="12">
                  <c:v>12.144</c:v>
                </c:pt>
                <c:pt idx="13">
                  <c:v>12.336</c:v>
                </c:pt>
                <c:pt idx="14">
                  <c:v>12.493</c:v>
                </c:pt>
                <c:pt idx="15">
                  <c:v>12.645</c:v>
                </c:pt>
                <c:pt idx="16">
                  <c:v>12.792000000000002</c:v>
                </c:pt>
                <c:pt idx="17">
                  <c:v>12.934000000000001</c:v>
                </c:pt>
                <c:pt idx="18">
                  <c:v>13.071000000000002</c:v>
                </c:pt>
                <c:pt idx="19">
                  <c:v>13.203000000000001</c:v>
                </c:pt>
                <c:pt idx="20">
                  <c:v>13.330000000000002</c:v>
                </c:pt>
                <c:pt idx="21">
                  <c:v>13.452000000000002</c:v>
                </c:pt>
                <c:pt idx="22">
                  <c:v>13.569000000000003</c:v>
                </c:pt>
                <c:pt idx="23">
                  <c:v>13.681000000000003</c:v>
                </c:pt>
                <c:pt idx="24">
                  <c:v>13.788000000000004</c:v>
                </c:pt>
                <c:pt idx="25">
                  <c:v>13.890000000000004</c:v>
                </c:pt>
                <c:pt idx="26">
                  <c:v>13.987000000000005</c:v>
                </c:pt>
                <c:pt idx="27">
                  <c:v>14.079000000000004</c:v>
                </c:pt>
                <c:pt idx="28">
                  <c:v>14.166000000000004</c:v>
                </c:pt>
                <c:pt idx="29">
                  <c:v>14.248000000000005</c:v>
                </c:pt>
                <c:pt idx="30">
                  <c:v>14.325000000000006</c:v>
                </c:pt>
              </c:numCache>
            </c:numRef>
          </c:val>
          <c:smooth val="0"/>
        </c:ser>
        <c:ser>
          <c:idx val="1"/>
          <c:order val="1"/>
          <c:tx>
            <c:v>rD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Ref>
              <c:f>'FIGURE 19.1'!$B$27:$B$57</c:f>
              <c:numCache>
                <c:formatCode>General</c:formatCode>
                <c:ptCount val="3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0.15000000000000002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0.39999999999999997</c:v>
                </c:pt>
                <c:pt idx="9">
                  <c:v>0.44999999999999996</c:v>
                </c:pt>
                <c:pt idx="10">
                  <c:v>0.49999999999999994</c:v>
                </c:pt>
                <c:pt idx="11">
                  <c:v>0.54999999999999993</c:v>
                </c:pt>
                <c:pt idx="12">
                  <c:v>0.6</c:v>
                </c:pt>
                <c:pt idx="13">
                  <c:v>0.65</c:v>
                </c:pt>
                <c:pt idx="14">
                  <c:v>0.70000000000000007</c:v>
                </c:pt>
                <c:pt idx="15">
                  <c:v>0.75000000000000011</c:v>
                </c:pt>
                <c:pt idx="16">
                  <c:v>0.80000000000000016</c:v>
                </c:pt>
                <c:pt idx="17">
                  <c:v>0.8500000000000002</c:v>
                </c:pt>
                <c:pt idx="18">
                  <c:v>0.90000000000000024</c:v>
                </c:pt>
                <c:pt idx="19">
                  <c:v>0.95000000000000029</c:v>
                </c:pt>
                <c:pt idx="20">
                  <c:v>1.0000000000000002</c:v>
                </c:pt>
                <c:pt idx="21">
                  <c:v>1.0500000000000003</c:v>
                </c:pt>
                <c:pt idx="22">
                  <c:v>1.1000000000000003</c:v>
                </c:pt>
                <c:pt idx="23">
                  <c:v>1.1500000000000004</c:v>
                </c:pt>
                <c:pt idx="24">
                  <c:v>1.2000000000000004</c:v>
                </c:pt>
                <c:pt idx="25">
                  <c:v>1.2500000000000004</c:v>
                </c:pt>
                <c:pt idx="26">
                  <c:v>1.3000000000000005</c:v>
                </c:pt>
                <c:pt idx="27">
                  <c:v>1.3500000000000005</c:v>
                </c:pt>
                <c:pt idx="28">
                  <c:v>1.4000000000000006</c:v>
                </c:pt>
                <c:pt idx="29">
                  <c:v>1.4500000000000006</c:v>
                </c:pt>
                <c:pt idx="30">
                  <c:v>1.5000000000000007</c:v>
                </c:pt>
              </c:numCache>
            </c:numRef>
          </c:cat>
          <c:val>
            <c:numRef>
              <c:f>'FIGURE 19.1'!$E$27:$E$57</c:f>
              <c:numCache>
                <c:formatCode>General</c:formatCode>
                <c:ptCount val="31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6.05</c:v>
                </c:pt>
                <c:pt idx="14">
                  <c:v>6.1</c:v>
                </c:pt>
                <c:pt idx="15">
                  <c:v>6.1499999999999995</c:v>
                </c:pt>
                <c:pt idx="16">
                  <c:v>6.1999999999999993</c:v>
                </c:pt>
                <c:pt idx="17">
                  <c:v>6.2499999999999991</c:v>
                </c:pt>
                <c:pt idx="18">
                  <c:v>6.2999999999999989</c:v>
                </c:pt>
                <c:pt idx="19">
                  <c:v>6.3499999999999988</c:v>
                </c:pt>
                <c:pt idx="20">
                  <c:v>6.3999999999999986</c:v>
                </c:pt>
                <c:pt idx="21">
                  <c:v>6.4499999999999984</c:v>
                </c:pt>
                <c:pt idx="22">
                  <c:v>6.4999999999999982</c:v>
                </c:pt>
                <c:pt idx="23">
                  <c:v>6.549999999999998</c:v>
                </c:pt>
                <c:pt idx="24">
                  <c:v>6.5999999999999979</c:v>
                </c:pt>
                <c:pt idx="25">
                  <c:v>6.6499999999999977</c:v>
                </c:pt>
                <c:pt idx="26">
                  <c:v>6.6999999999999975</c:v>
                </c:pt>
                <c:pt idx="27">
                  <c:v>6.7499999999999973</c:v>
                </c:pt>
                <c:pt idx="28">
                  <c:v>6.7999999999999972</c:v>
                </c:pt>
                <c:pt idx="29">
                  <c:v>6.849999999999997</c:v>
                </c:pt>
                <c:pt idx="30">
                  <c:v>6.8999999999999968</c:v>
                </c:pt>
              </c:numCache>
            </c:numRef>
          </c:val>
          <c:smooth val="0"/>
        </c:ser>
        <c:ser>
          <c:idx val="2"/>
          <c:order val="2"/>
          <c:tx>
            <c:v>WACC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numRef>
              <c:f>'FIGURE 19.1'!$B$27:$B$57</c:f>
              <c:numCache>
                <c:formatCode>General</c:formatCode>
                <c:ptCount val="3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0.15000000000000002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0.39999999999999997</c:v>
                </c:pt>
                <c:pt idx="9">
                  <c:v>0.44999999999999996</c:v>
                </c:pt>
                <c:pt idx="10">
                  <c:v>0.49999999999999994</c:v>
                </c:pt>
                <c:pt idx="11">
                  <c:v>0.54999999999999993</c:v>
                </c:pt>
                <c:pt idx="12">
                  <c:v>0.6</c:v>
                </c:pt>
                <c:pt idx="13">
                  <c:v>0.65</c:v>
                </c:pt>
                <c:pt idx="14">
                  <c:v>0.70000000000000007</c:v>
                </c:pt>
                <c:pt idx="15">
                  <c:v>0.75000000000000011</c:v>
                </c:pt>
                <c:pt idx="16">
                  <c:v>0.80000000000000016</c:v>
                </c:pt>
                <c:pt idx="17">
                  <c:v>0.8500000000000002</c:v>
                </c:pt>
                <c:pt idx="18">
                  <c:v>0.90000000000000024</c:v>
                </c:pt>
                <c:pt idx="19">
                  <c:v>0.95000000000000029</c:v>
                </c:pt>
                <c:pt idx="20">
                  <c:v>1.0000000000000002</c:v>
                </c:pt>
                <c:pt idx="21">
                  <c:v>1.0500000000000003</c:v>
                </c:pt>
                <c:pt idx="22">
                  <c:v>1.1000000000000003</c:v>
                </c:pt>
                <c:pt idx="23">
                  <c:v>1.1500000000000004</c:v>
                </c:pt>
                <c:pt idx="24">
                  <c:v>1.2000000000000004</c:v>
                </c:pt>
                <c:pt idx="25">
                  <c:v>1.2500000000000004</c:v>
                </c:pt>
                <c:pt idx="26">
                  <c:v>1.3000000000000005</c:v>
                </c:pt>
                <c:pt idx="27">
                  <c:v>1.3500000000000005</c:v>
                </c:pt>
                <c:pt idx="28">
                  <c:v>1.4000000000000006</c:v>
                </c:pt>
                <c:pt idx="29">
                  <c:v>1.4500000000000006</c:v>
                </c:pt>
                <c:pt idx="30">
                  <c:v>1.5000000000000007</c:v>
                </c:pt>
              </c:numCache>
            </c:numRef>
          </c:cat>
          <c:val>
            <c:numRef>
              <c:f>'FIGURE 19.1'!$G$27:$G$57</c:f>
              <c:numCache>
                <c:formatCode>0.00</c:formatCode>
                <c:ptCount val="31"/>
                <c:pt idx="0">
                  <c:v>9.84</c:v>
                </c:pt>
                <c:pt idx="1">
                  <c:v>9.7399999999999984</c:v>
                </c:pt>
                <c:pt idx="2">
                  <c:v>9.6490909090909103</c:v>
                </c:pt>
                <c:pt idx="3">
                  <c:v>9.5660869565217386</c:v>
                </c:pt>
                <c:pt idx="4">
                  <c:v>9.49</c:v>
                </c:pt>
                <c:pt idx="5">
                  <c:v>9.42</c:v>
                </c:pt>
                <c:pt idx="6">
                  <c:v>9.3553846153846152</c:v>
                </c:pt>
                <c:pt idx="7">
                  <c:v>9.2955555555555538</c:v>
                </c:pt>
                <c:pt idx="8">
                  <c:v>9.24</c:v>
                </c:pt>
                <c:pt idx="9">
                  <c:v>9.1882758620689664</c:v>
                </c:pt>
                <c:pt idx="10">
                  <c:v>9.14</c:v>
                </c:pt>
                <c:pt idx="11">
                  <c:v>9.0948387096774184</c:v>
                </c:pt>
                <c:pt idx="12">
                  <c:v>9.0525000000000002</c:v>
                </c:pt>
                <c:pt idx="13">
                  <c:v>9.0255303030303029</c:v>
                </c:pt>
                <c:pt idx="14">
                  <c:v>8.981470588235295</c:v>
                </c:pt>
                <c:pt idx="15">
                  <c:v>8.9389285714285709</c:v>
                </c:pt>
                <c:pt idx="16">
                  <c:v>8.8977777777777796</c:v>
                </c:pt>
                <c:pt idx="17">
                  <c:v>8.8579054054054041</c:v>
                </c:pt>
                <c:pt idx="18">
                  <c:v>8.8192105263157892</c:v>
                </c:pt>
                <c:pt idx="19">
                  <c:v>8.781602564102565</c:v>
                </c:pt>
                <c:pt idx="20">
                  <c:v>8.7449999999999992</c:v>
                </c:pt>
                <c:pt idx="21">
                  <c:v>8.7093292682926826</c:v>
                </c:pt>
                <c:pt idx="22">
                  <c:v>8.6745238095238104</c:v>
                </c:pt>
                <c:pt idx="23">
                  <c:v>8.6405232558139531</c:v>
                </c:pt>
                <c:pt idx="24">
                  <c:v>8.6072727272727256</c:v>
                </c:pt>
                <c:pt idx="25">
                  <c:v>8.5747222222222206</c:v>
                </c:pt>
                <c:pt idx="26">
                  <c:v>8.5428260869565218</c:v>
                </c:pt>
                <c:pt idx="27">
                  <c:v>8.5115425531914894</c:v>
                </c:pt>
                <c:pt idx="28">
                  <c:v>8.480833333333333</c:v>
                </c:pt>
                <c:pt idx="29">
                  <c:v>8.4506632653061224</c:v>
                </c:pt>
                <c:pt idx="30">
                  <c:v>8.4210000000000012</c:v>
                </c:pt>
              </c:numCache>
            </c:numRef>
          </c:val>
          <c:smooth val="0"/>
        </c:ser>
        <c:ser>
          <c:idx val="3"/>
          <c:order val="3"/>
          <c:tx>
            <c:v>r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val>
            <c:numRef>
              <c:f>'FIGURE 19.1'!$D$27:$D$57</c:f>
              <c:numCache>
                <c:formatCode>General</c:formatCode>
                <c:ptCount val="31"/>
                <c:pt idx="0" formatCode="0.00">
                  <c:v>9.84</c:v>
                </c:pt>
                <c:pt idx="1">
                  <c:v>9.84</c:v>
                </c:pt>
                <c:pt idx="2">
                  <c:v>9.84</c:v>
                </c:pt>
                <c:pt idx="3">
                  <c:v>9.84</c:v>
                </c:pt>
                <c:pt idx="4">
                  <c:v>9.84</c:v>
                </c:pt>
                <c:pt idx="5">
                  <c:v>9.84</c:v>
                </c:pt>
                <c:pt idx="6">
                  <c:v>9.84</c:v>
                </c:pt>
                <c:pt idx="7">
                  <c:v>9.84</c:v>
                </c:pt>
                <c:pt idx="8">
                  <c:v>9.84</c:v>
                </c:pt>
                <c:pt idx="9">
                  <c:v>9.84</c:v>
                </c:pt>
                <c:pt idx="10">
                  <c:v>9.84</c:v>
                </c:pt>
                <c:pt idx="11">
                  <c:v>9.84</c:v>
                </c:pt>
                <c:pt idx="12">
                  <c:v>9.84</c:v>
                </c:pt>
                <c:pt idx="13">
                  <c:v>9.84</c:v>
                </c:pt>
                <c:pt idx="14">
                  <c:v>9.84</c:v>
                </c:pt>
                <c:pt idx="15">
                  <c:v>9.84</c:v>
                </c:pt>
                <c:pt idx="16">
                  <c:v>9.84</c:v>
                </c:pt>
                <c:pt idx="17">
                  <c:v>9.84</c:v>
                </c:pt>
                <c:pt idx="18">
                  <c:v>9.84</c:v>
                </c:pt>
                <c:pt idx="19">
                  <c:v>9.84</c:v>
                </c:pt>
                <c:pt idx="20">
                  <c:v>9.84</c:v>
                </c:pt>
                <c:pt idx="21">
                  <c:v>9.84</c:v>
                </c:pt>
                <c:pt idx="22">
                  <c:v>9.84</c:v>
                </c:pt>
                <c:pt idx="23">
                  <c:v>9.84</c:v>
                </c:pt>
                <c:pt idx="24">
                  <c:v>9.84</c:v>
                </c:pt>
                <c:pt idx="25">
                  <c:v>9.84</c:v>
                </c:pt>
                <c:pt idx="26">
                  <c:v>9.84</c:v>
                </c:pt>
                <c:pt idx="27">
                  <c:v>9.84</c:v>
                </c:pt>
                <c:pt idx="28">
                  <c:v>9.84</c:v>
                </c:pt>
                <c:pt idx="29">
                  <c:v>9.84</c:v>
                </c:pt>
                <c:pt idx="30">
                  <c:v>9.84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1849344"/>
        <c:axId val="413120768"/>
      </c:lineChart>
      <c:catAx>
        <c:axId val="401849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Debt-equity ratio</a:t>
                </a:r>
                <a:r>
                  <a:rPr lang="en-GB" baseline="0"/>
                  <a:t> (D/V)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36926224583372863"/>
              <c:y val="0.8721311369821104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3120768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413120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Rates of return, %</a:t>
                </a:r>
              </a:p>
            </c:rich>
          </c:tx>
          <c:layout>
            <c:manualLayout>
              <c:xMode val="edge"/>
              <c:yMode val="edge"/>
              <c:x val="3.1936248932738831E-2"/>
              <c:y val="0.14426227396422076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0184934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634896541546765"/>
          <c:y val="0.25901647263417227"/>
          <c:w val="0.15768501828837655"/>
          <c:h val="0.2918032945268345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accent6">
        <a:lumMod val="60000"/>
        <a:lumOff val="40000"/>
      </a:schemeClr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1790700</xdr:colOff>
      <xdr:row>3</xdr:row>
      <xdr:rowOff>0</xdr:rowOff>
    </xdr:from>
    <xdr:to>
      <xdr:col>7</xdr:col>
      <xdr:colOff>400050</xdr:colOff>
      <xdr:row>22</xdr:row>
      <xdr:rowOff>28575</xdr:rowOff>
    </xdr:to>
    <xdr:graphicFrame macro="">
      <xdr:nvGraphicFramePr>
        <xdr:cNvPr id="10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5"/>
  <sheetViews>
    <sheetView showGridLines="0" showRowColHeaders="0" tabSelected="1" zoomScaleNormal="100" workbookViewId="0"/>
  </sheetViews>
  <sheetFormatPr defaultRowHeight="12.75" x14ac:dyDescent="0.2"/>
  <cols>
    <col min="1" max="1" width="9.85546875" style="1" customWidth="1"/>
    <col min="2" max="2" width="4.85546875" style="1" customWidth="1"/>
    <col min="3" max="3" width="35" style="1" customWidth="1"/>
    <col min="4" max="11" width="8.42578125" style="1" customWidth="1"/>
    <col min="12" max="12" width="11.140625" style="1" customWidth="1"/>
    <col min="13" max="16384" width="9.140625" style="1"/>
  </cols>
  <sheetData>
    <row r="1" spans="2:12" ht="24.75" customHeight="1" x14ac:dyDescent="0.2"/>
    <row r="2" spans="2:12" x14ac:dyDescent="0.2">
      <c r="B2" s="50" t="s">
        <v>53</v>
      </c>
      <c r="C2" s="51"/>
      <c r="D2" s="51"/>
      <c r="E2" s="51"/>
      <c r="F2" s="51"/>
      <c r="G2" s="51"/>
      <c r="H2" s="51"/>
      <c r="I2" s="51"/>
      <c r="J2" s="51"/>
      <c r="K2" s="51"/>
      <c r="L2" s="6"/>
    </row>
    <row r="3" spans="2:12" x14ac:dyDescent="0.2">
      <c r="B3" s="53" t="s">
        <v>67</v>
      </c>
      <c r="C3" s="54"/>
      <c r="D3" s="54"/>
      <c r="E3" s="54"/>
      <c r="F3" s="54"/>
      <c r="G3" s="54"/>
      <c r="H3" s="54"/>
      <c r="I3" s="54"/>
      <c r="J3" s="54"/>
      <c r="K3" s="54"/>
      <c r="L3" s="55"/>
    </row>
    <row r="4" spans="2:12" x14ac:dyDescent="0.2">
      <c r="B4" s="7"/>
      <c r="C4" s="3"/>
      <c r="D4" s="3"/>
      <c r="E4" s="3"/>
      <c r="F4" s="3"/>
      <c r="G4" s="3"/>
      <c r="H4" s="3"/>
      <c r="I4" s="3"/>
      <c r="J4" s="3"/>
      <c r="K4" s="8"/>
      <c r="L4" s="9"/>
    </row>
    <row r="5" spans="2:12" x14ac:dyDescent="0.2">
      <c r="B5" s="10"/>
      <c r="C5" s="8"/>
      <c r="D5" s="3" t="s">
        <v>16</v>
      </c>
      <c r="E5" s="8"/>
      <c r="F5" s="8"/>
      <c r="G5" s="8"/>
      <c r="H5" s="8"/>
      <c r="I5" s="8"/>
      <c r="J5" s="8"/>
      <c r="K5" s="8"/>
      <c r="L5" s="9"/>
    </row>
    <row r="6" spans="2:12" ht="13.5" thickBot="1" x14ac:dyDescent="0.25">
      <c r="B6" s="10"/>
      <c r="C6" s="8"/>
      <c r="D6" s="4" t="s">
        <v>17</v>
      </c>
      <c r="E6" s="49" t="s">
        <v>0</v>
      </c>
      <c r="F6" s="49"/>
      <c r="G6" s="49"/>
      <c r="H6" s="49"/>
      <c r="I6" s="49"/>
      <c r="J6" s="49"/>
      <c r="K6" s="5"/>
      <c r="L6" s="9"/>
    </row>
    <row r="7" spans="2:12" x14ac:dyDescent="0.2">
      <c r="B7" s="10"/>
      <c r="C7" s="8"/>
      <c r="D7" s="11">
        <v>0</v>
      </c>
      <c r="E7" s="11">
        <v>1</v>
      </c>
      <c r="F7" s="11">
        <v>2</v>
      </c>
      <c r="G7" s="11">
        <v>3</v>
      </c>
      <c r="H7" s="11">
        <v>4</v>
      </c>
      <c r="I7" s="11">
        <v>5</v>
      </c>
      <c r="J7" s="11">
        <v>6</v>
      </c>
      <c r="K7" s="11">
        <v>7</v>
      </c>
      <c r="L7" s="12"/>
    </row>
    <row r="8" spans="2:12" x14ac:dyDescent="0.2">
      <c r="B8" s="10"/>
      <c r="C8" s="8"/>
      <c r="D8" s="8"/>
      <c r="E8" s="8"/>
      <c r="F8" s="8"/>
      <c r="G8" s="8"/>
      <c r="H8" s="8"/>
      <c r="I8" s="8"/>
      <c r="J8" s="8"/>
      <c r="K8" s="8"/>
      <c r="L8" s="9"/>
    </row>
    <row r="9" spans="2:12" x14ac:dyDescent="0.2">
      <c r="B9" s="13" t="s">
        <v>1</v>
      </c>
      <c r="C9" s="8" t="s">
        <v>2</v>
      </c>
      <c r="D9" s="20">
        <v>83.632000000000005</v>
      </c>
      <c r="E9" s="14">
        <f t="shared" ref="E9:K9" si="0">(1+E26/100)*D9</f>
        <v>89.486240000000009</v>
      </c>
      <c r="F9" s="14">
        <f t="shared" si="0"/>
        <v>95.750276800000009</v>
      </c>
      <c r="G9" s="14">
        <f t="shared" si="0"/>
        <v>102.45279617600002</v>
      </c>
      <c r="H9" s="14">
        <f t="shared" si="0"/>
        <v>106.55090802304002</v>
      </c>
      <c r="I9" s="14">
        <f t="shared" si="0"/>
        <v>110.81294434396163</v>
      </c>
      <c r="J9" s="14">
        <f t="shared" si="0"/>
        <v>115.24546211772009</v>
      </c>
      <c r="K9" s="14">
        <f t="shared" si="0"/>
        <v>118.70282598125171</v>
      </c>
      <c r="L9" s="15"/>
    </row>
    <row r="10" spans="2:12" x14ac:dyDescent="0.2">
      <c r="B10" s="16" t="s">
        <v>22</v>
      </c>
      <c r="C10" s="8" t="s">
        <v>3</v>
      </c>
      <c r="D10" s="14">
        <v>63.123000000000005</v>
      </c>
      <c r="E10" s="14">
        <f t="shared" ref="E10:K10" si="1">E$27*E$9/100</f>
        <v>66.219817599999999</v>
      </c>
      <c r="F10" s="14">
        <f t="shared" si="1"/>
        <v>71.333956216000004</v>
      </c>
      <c r="G10" s="14">
        <f t="shared" si="1"/>
        <v>76.327333151120015</v>
      </c>
      <c r="H10" s="14">
        <f t="shared" si="1"/>
        <v>79.913181017280024</v>
      </c>
      <c r="I10" s="14">
        <f t="shared" si="1"/>
        <v>83.109708257971235</v>
      </c>
      <c r="J10" s="14">
        <f t="shared" si="1"/>
        <v>87.010323898878667</v>
      </c>
      <c r="K10" s="14">
        <f t="shared" si="1"/>
        <v>90.214147745751291</v>
      </c>
      <c r="L10" s="15"/>
    </row>
    <row r="11" spans="2:12" x14ac:dyDescent="0.2">
      <c r="B11" s="16" t="s">
        <v>23</v>
      </c>
      <c r="C11" s="8" t="s">
        <v>35</v>
      </c>
      <c r="D11" s="14">
        <f>D9-D10</f>
        <v>20.509</v>
      </c>
      <c r="E11" s="14">
        <f t="shared" ref="E11:K11" si="2">E9-E10</f>
        <v>23.26642240000001</v>
      </c>
      <c r="F11" s="14">
        <f t="shared" si="2"/>
        <v>24.416320584000005</v>
      </c>
      <c r="G11" s="14">
        <f t="shared" si="2"/>
        <v>26.125463024880005</v>
      </c>
      <c r="H11" s="14">
        <f t="shared" si="2"/>
        <v>26.637727005759999</v>
      </c>
      <c r="I11" s="14">
        <f t="shared" si="2"/>
        <v>27.703236085990397</v>
      </c>
      <c r="J11" s="14">
        <f t="shared" si="2"/>
        <v>28.235138218841428</v>
      </c>
      <c r="K11" s="14">
        <f t="shared" si="2"/>
        <v>28.488678235500416</v>
      </c>
      <c r="L11" s="15"/>
    </row>
    <row r="12" spans="2:12" x14ac:dyDescent="0.2">
      <c r="B12" s="16" t="s">
        <v>24</v>
      </c>
      <c r="C12" s="8" t="s">
        <v>13</v>
      </c>
      <c r="D12" s="14">
        <v>3.294</v>
      </c>
      <c r="E12" s="14">
        <f t="shared" ref="E12:K12" si="3">E30*E42/100</f>
        <v>9.8971781440000015</v>
      </c>
      <c r="F12" s="14">
        <f t="shared" si="3"/>
        <v>10.589980614080002</v>
      </c>
      <c r="G12" s="14">
        <f t="shared" si="3"/>
        <v>11.331279257065601</v>
      </c>
      <c r="H12" s="14">
        <f t="shared" si="3"/>
        <v>11.784530427348226</v>
      </c>
      <c r="I12" s="14">
        <f t="shared" si="3"/>
        <v>12.255911644442158</v>
      </c>
      <c r="J12" s="14">
        <f t="shared" si="3"/>
        <v>12.746148110219844</v>
      </c>
      <c r="K12" s="14">
        <f t="shared" si="3"/>
        <v>13.128532553526439</v>
      </c>
      <c r="L12" s="15"/>
    </row>
    <row r="13" spans="2:12" x14ac:dyDescent="0.2">
      <c r="B13" s="16" t="s">
        <v>4</v>
      </c>
      <c r="C13" s="8" t="s">
        <v>32</v>
      </c>
      <c r="D13" s="14">
        <f t="shared" ref="D13:J13" si="4">D9-D10-D12</f>
        <v>17.215</v>
      </c>
      <c r="E13" s="14">
        <f t="shared" si="4"/>
        <v>13.369244256000009</v>
      </c>
      <c r="F13" s="14">
        <f t="shared" si="4"/>
        <v>13.826339969920003</v>
      </c>
      <c r="G13" s="14">
        <f t="shared" si="4"/>
        <v>14.794183767814404</v>
      </c>
      <c r="H13" s="14">
        <f t="shared" si="4"/>
        <v>14.853196578411772</v>
      </c>
      <c r="I13" s="14">
        <f t="shared" si="4"/>
        <v>15.44732444154824</v>
      </c>
      <c r="J13" s="14">
        <f t="shared" si="4"/>
        <v>15.488990108621584</v>
      </c>
      <c r="K13" s="14">
        <f>K9-K10-K12</f>
        <v>15.360145681973977</v>
      </c>
      <c r="L13" s="15"/>
    </row>
    <row r="14" spans="2:12" x14ac:dyDescent="0.2">
      <c r="B14" s="16" t="s">
        <v>5</v>
      </c>
      <c r="C14" s="8" t="s">
        <v>7</v>
      </c>
      <c r="D14" s="14">
        <f>$D32*D13/100</f>
        <v>6.0252499999999998</v>
      </c>
      <c r="E14" s="14">
        <f>$D32*E13/100</f>
        <v>4.6792354896000026</v>
      </c>
      <c r="F14" s="14">
        <f t="shared" ref="F14:K14" si="5">$D32*F13/100</f>
        <v>4.839218989472001</v>
      </c>
      <c r="G14" s="14">
        <f t="shared" si="5"/>
        <v>5.1779643187350413</v>
      </c>
      <c r="H14" s="14">
        <f t="shared" si="5"/>
        <v>5.1986188024441207</v>
      </c>
      <c r="I14" s="14">
        <f t="shared" si="5"/>
        <v>5.4065635545418846</v>
      </c>
      <c r="J14" s="14">
        <f t="shared" si="5"/>
        <v>5.4211465380175552</v>
      </c>
      <c r="K14" s="14">
        <f t="shared" si="5"/>
        <v>5.3760509886908912</v>
      </c>
      <c r="L14" s="15"/>
    </row>
    <row r="15" spans="2:12" x14ac:dyDescent="0.2">
      <c r="B15" s="16" t="s">
        <v>6</v>
      </c>
      <c r="C15" s="8" t="s">
        <v>33</v>
      </c>
      <c r="D15" s="14">
        <f t="shared" ref="D15:J15" si="6">D13-D14</f>
        <v>11.18975</v>
      </c>
      <c r="E15" s="14">
        <f t="shared" si="6"/>
        <v>8.6900087664000054</v>
      </c>
      <c r="F15" s="14">
        <f t="shared" si="6"/>
        <v>8.987120980448001</v>
      </c>
      <c r="G15" s="14">
        <f t="shared" si="6"/>
        <v>9.6162194490793631</v>
      </c>
      <c r="H15" s="14">
        <f t="shared" si="6"/>
        <v>9.6545777759676525</v>
      </c>
      <c r="I15" s="14">
        <f t="shared" si="6"/>
        <v>10.040760887006355</v>
      </c>
      <c r="J15" s="14">
        <f t="shared" si="6"/>
        <v>10.06784357060403</v>
      </c>
      <c r="K15" s="14">
        <f>K13-K14</f>
        <v>9.9840946932830867</v>
      </c>
      <c r="L15" s="15"/>
    </row>
    <row r="16" spans="2:12" x14ac:dyDescent="0.2">
      <c r="B16" s="16"/>
      <c r="C16" s="8"/>
      <c r="D16" s="14"/>
      <c r="E16" s="14"/>
      <c r="F16" s="14"/>
      <c r="G16" s="14"/>
      <c r="H16" s="14"/>
      <c r="I16" s="14"/>
      <c r="J16" s="14"/>
      <c r="K16" s="8"/>
      <c r="L16" s="9"/>
    </row>
    <row r="17" spans="2:12" x14ac:dyDescent="0.2">
      <c r="B17" s="16" t="s">
        <v>8</v>
      </c>
      <c r="C17" s="8" t="s">
        <v>26</v>
      </c>
      <c r="D17" s="14">
        <v>11</v>
      </c>
      <c r="E17" s="14">
        <f t="shared" ref="E17:K17" si="7">E40-D40</f>
        <v>14.591307744000005</v>
      </c>
      <c r="F17" s="14">
        <f t="shared" si="7"/>
        <v>15.53856968608001</v>
      </c>
      <c r="G17" s="14">
        <f t="shared" si="7"/>
        <v>16.626269564105584</v>
      </c>
      <c r="H17" s="14">
        <f t="shared" si="7"/>
        <v>15.022038786509853</v>
      </c>
      <c r="I17" s="14">
        <f t="shared" si="7"/>
        <v>15.622920337970214</v>
      </c>
      <c r="J17" s="14">
        <f t="shared" si="7"/>
        <v>16.247837151489051</v>
      </c>
      <c r="K17" s="14">
        <f t="shared" si="7"/>
        <v>15.859850005716396</v>
      </c>
      <c r="L17" s="15"/>
    </row>
    <row r="18" spans="2:12" x14ac:dyDescent="0.2">
      <c r="B18" s="16" t="s">
        <v>9</v>
      </c>
      <c r="C18" s="8" t="s">
        <v>25</v>
      </c>
      <c r="D18" s="14">
        <v>1</v>
      </c>
      <c r="E18" s="14">
        <f t="shared" ref="E18:K18" si="8">E43-D43</f>
        <v>0.53321120000000022</v>
      </c>
      <c r="F18" s="14">
        <f t="shared" si="8"/>
        <v>0.81432478400000186</v>
      </c>
      <c r="G18" s="14">
        <f t="shared" si="8"/>
        <v>0.87132751888000115</v>
      </c>
      <c r="H18" s="14">
        <f t="shared" si="8"/>
        <v>0.53275454011520118</v>
      </c>
      <c r="I18" s="14">
        <f t="shared" si="8"/>
        <v>0.55406472171980781</v>
      </c>
      <c r="J18" s="14">
        <f t="shared" si="8"/>
        <v>0.57622731058860133</v>
      </c>
      <c r="K18" s="14">
        <f t="shared" si="8"/>
        <v>0.44945730225910907</v>
      </c>
      <c r="L18" s="15"/>
    </row>
    <row r="19" spans="2:12" x14ac:dyDescent="0.2">
      <c r="B19" s="16" t="s">
        <v>10</v>
      </c>
      <c r="C19" s="8" t="s">
        <v>34</v>
      </c>
      <c r="D19" s="14">
        <f t="shared" ref="D19:J19" si="9">D15+D12-D18-D17</f>
        <v>2.4837500000000006</v>
      </c>
      <c r="E19" s="14">
        <f t="shared" si="9"/>
        <v>3.4626679664000015</v>
      </c>
      <c r="F19" s="14">
        <f t="shared" si="9"/>
        <v>3.2242071244479931</v>
      </c>
      <c r="G19" s="14">
        <f t="shared" si="9"/>
        <v>3.4499016231593771</v>
      </c>
      <c r="H19" s="14">
        <f t="shared" si="9"/>
        <v>5.8843148766908229</v>
      </c>
      <c r="I19" s="14">
        <f t="shared" si="9"/>
        <v>6.1196874717584926</v>
      </c>
      <c r="J19" s="14">
        <f t="shared" si="9"/>
        <v>5.9899272187462245</v>
      </c>
      <c r="K19" s="14">
        <f>K15+K12-K18-K17</f>
        <v>6.8033199388340186</v>
      </c>
      <c r="L19" s="15"/>
    </row>
    <row r="20" spans="2:12" x14ac:dyDescent="0.2">
      <c r="B20" s="16"/>
      <c r="C20" s="8"/>
      <c r="D20" s="14"/>
      <c r="E20" s="14"/>
      <c r="F20" s="14"/>
      <c r="G20" s="14"/>
      <c r="H20" s="14"/>
      <c r="I20" s="14"/>
      <c r="J20" s="14"/>
      <c r="K20" s="14"/>
      <c r="L20" s="15"/>
    </row>
    <row r="21" spans="2:12" x14ac:dyDescent="0.2">
      <c r="B21" s="16"/>
      <c r="C21" s="17" t="s">
        <v>28</v>
      </c>
      <c r="D21" s="39">
        <f>NPV(D36/100,E19:J19)</f>
        <v>20.27203913588599</v>
      </c>
      <c r="E21" s="14"/>
      <c r="F21" s="14"/>
      <c r="G21" s="14"/>
      <c r="H21" s="14"/>
      <c r="I21" s="52" t="s">
        <v>30</v>
      </c>
      <c r="J21" s="52"/>
      <c r="K21" s="52"/>
      <c r="L21" s="15"/>
    </row>
    <row r="22" spans="2:12" x14ac:dyDescent="0.2">
      <c r="B22" s="16"/>
      <c r="C22" s="17" t="s">
        <v>29</v>
      </c>
      <c r="D22" s="39">
        <f>J22/(1+D36/100)^6</f>
        <v>67.609956563877176</v>
      </c>
      <c r="E22" s="14"/>
      <c r="F22" s="14"/>
      <c r="G22" s="14"/>
      <c r="H22" s="14"/>
      <c r="I22" s="14"/>
      <c r="J22" s="14">
        <f>K19/($D36/100-$D37/100)</f>
        <v>113.38866564723365</v>
      </c>
      <c r="K22" s="8"/>
      <c r="L22" s="15"/>
    </row>
    <row r="23" spans="2:12" x14ac:dyDescent="0.2">
      <c r="B23" s="16"/>
      <c r="C23" s="17" t="s">
        <v>36</v>
      </c>
      <c r="D23" s="39">
        <f>D21+D22</f>
        <v>87.881995699763166</v>
      </c>
      <c r="E23" s="14"/>
      <c r="F23" s="14"/>
      <c r="G23" s="14"/>
      <c r="H23" s="14"/>
      <c r="I23" s="14"/>
      <c r="J23" s="19"/>
      <c r="K23" s="14"/>
      <c r="L23" s="15"/>
    </row>
    <row r="24" spans="2:12" x14ac:dyDescent="0.2">
      <c r="B24" s="16"/>
      <c r="C24" s="8"/>
      <c r="D24" s="14"/>
      <c r="E24" s="14"/>
      <c r="F24" s="14"/>
      <c r="G24" s="14"/>
      <c r="H24" s="14"/>
      <c r="I24" s="14"/>
      <c r="J24" s="19"/>
      <c r="K24" s="14"/>
      <c r="L24" s="15"/>
    </row>
    <row r="25" spans="2:12" x14ac:dyDescent="0.2">
      <c r="B25" s="16"/>
      <c r="C25" s="17" t="s">
        <v>37</v>
      </c>
      <c r="D25" s="14"/>
      <c r="E25" s="14"/>
      <c r="F25" s="14"/>
      <c r="G25" s="14"/>
      <c r="H25" s="14"/>
      <c r="I25" s="14"/>
      <c r="J25" s="19"/>
      <c r="K25" s="14"/>
      <c r="L25" s="15"/>
    </row>
    <row r="26" spans="2:12" x14ac:dyDescent="0.2">
      <c r="B26" s="16"/>
      <c r="C26" s="8" t="s">
        <v>14</v>
      </c>
      <c r="D26" s="14">
        <f>100*0.067</f>
        <v>6.7</v>
      </c>
      <c r="E26" s="20">
        <f>7</f>
        <v>7</v>
      </c>
      <c r="F26" s="20">
        <v>7</v>
      </c>
      <c r="G26" s="20">
        <v>7</v>
      </c>
      <c r="H26" s="20">
        <v>4</v>
      </c>
      <c r="I26" s="20">
        <v>4</v>
      </c>
      <c r="J26" s="20">
        <v>4</v>
      </c>
      <c r="K26" s="20">
        <v>3</v>
      </c>
      <c r="L26" s="21"/>
    </row>
    <row r="27" spans="2:12" x14ac:dyDescent="0.2">
      <c r="B27" s="16"/>
      <c r="C27" s="8" t="s">
        <v>15</v>
      </c>
      <c r="D27" s="14">
        <f>100*D10/D9</f>
        <v>75.477090109049172</v>
      </c>
      <c r="E27" s="20">
        <v>74</v>
      </c>
      <c r="F27" s="20">
        <v>74.5</v>
      </c>
      <c r="G27" s="20">
        <v>74.5</v>
      </c>
      <c r="H27" s="20">
        <v>75</v>
      </c>
      <c r="I27" s="20">
        <v>75</v>
      </c>
      <c r="J27" s="20">
        <v>75.5</v>
      </c>
      <c r="K27" s="20">
        <v>76</v>
      </c>
      <c r="L27" s="21"/>
    </row>
    <row r="28" spans="2:12" x14ac:dyDescent="0.2">
      <c r="B28" s="16"/>
      <c r="C28" s="8" t="s">
        <v>11</v>
      </c>
      <c r="D28" s="14">
        <f>100*D43/D9</f>
        <v>13.272431605127224</v>
      </c>
      <c r="E28" s="20">
        <v>13</v>
      </c>
      <c r="F28" s="20">
        <v>13</v>
      </c>
      <c r="G28" s="20">
        <v>13</v>
      </c>
      <c r="H28" s="20">
        <v>13</v>
      </c>
      <c r="I28" s="20">
        <v>13</v>
      </c>
      <c r="J28" s="20">
        <v>13</v>
      </c>
      <c r="K28" s="20">
        <v>13</v>
      </c>
      <c r="L28" s="21"/>
    </row>
    <row r="29" spans="2:12" x14ac:dyDescent="0.2">
      <c r="B29" s="16"/>
      <c r="C29" s="8" t="s">
        <v>20</v>
      </c>
      <c r="D29" s="14">
        <v>79.2</v>
      </c>
      <c r="E29" s="20">
        <v>79</v>
      </c>
      <c r="F29" s="20">
        <v>79</v>
      </c>
      <c r="G29" s="20">
        <v>79</v>
      </c>
      <c r="H29" s="20">
        <v>79</v>
      </c>
      <c r="I29" s="20">
        <v>79</v>
      </c>
      <c r="J29" s="20">
        <v>79</v>
      </c>
      <c r="K29" s="20">
        <v>79</v>
      </c>
      <c r="L29" s="21"/>
    </row>
    <row r="30" spans="2:12" x14ac:dyDescent="0.2">
      <c r="B30" s="16"/>
      <c r="C30" s="8" t="s">
        <v>21</v>
      </c>
      <c r="D30" s="14">
        <f>100*D12/D42</f>
        <v>4.9909090909090903</v>
      </c>
      <c r="E30" s="20">
        <v>14</v>
      </c>
      <c r="F30" s="20">
        <v>14</v>
      </c>
      <c r="G30" s="20">
        <v>14</v>
      </c>
      <c r="H30" s="20">
        <v>14</v>
      </c>
      <c r="I30" s="20">
        <v>14</v>
      </c>
      <c r="J30" s="20">
        <v>14</v>
      </c>
      <c r="K30" s="20">
        <v>14</v>
      </c>
      <c r="L30" s="21"/>
    </row>
    <row r="31" spans="2:12" x14ac:dyDescent="0.2">
      <c r="B31" s="16"/>
      <c r="C31" s="8"/>
      <c r="D31" s="14"/>
      <c r="E31" s="14"/>
      <c r="F31" s="14"/>
      <c r="G31" s="14"/>
      <c r="H31" s="14"/>
      <c r="I31" s="14"/>
      <c r="J31" s="14"/>
      <c r="K31" s="14"/>
      <c r="L31" s="21"/>
    </row>
    <row r="32" spans="2:12" x14ac:dyDescent="0.2">
      <c r="B32" s="16"/>
      <c r="C32" s="8" t="s">
        <v>12</v>
      </c>
      <c r="D32" s="20">
        <v>35</v>
      </c>
      <c r="E32" s="14"/>
      <c r="F32" s="14"/>
      <c r="G32" s="14"/>
      <c r="H32" s="14"/>
      <c r="I32" s="14"/>
      <c r="J32" s="14"/>
      <c r="K32" s="14"/>
      <c r="L32" s="21"/>
    </row>
    <row r="33" spans="2:12" ht="15.75" x14ac:dyDescent="0.3">
      <c r="B33" s="16"/>
      <c r="C33" s="8" t="s">
        <v>51</v>
      </c>
      <c r="D33" s="20">
        <v>6</v>
      </c>
      <c r="E33" s="14"/>
      <c r="F33" s="14"/>
      <c r="G33" s="8"/>
      <c r="H33" s="8"/>
      <c r="I33" s="14"/>
      <c r="J33" s="14"/>
      <c r="K33" s="14"/>
      <c r="L33" s="21"/>
    </row>
    <row r="34" spans="2:12" ht="15.75" x14ac:dyDescent="0.3">
      <c r="B34" s="16"/>
      <c r="C34" s="8" t="s">
        <v>52</v>
      </c>
      <c r="D34" s="20">
        <v>12.4</v>
      </c>
      <c r="E34" s="14"/>
      <c r="F34" s="14"/>
      <c r="G34" s="14"/>
      <c r="H34" s="14"/>
      <c r="I34" s="14"/>
      <c r="J34" s="14"/>
      <c r="K34" s="14"/>
      <c r="L34" s="21"/>
    </row>
    <row r="35" spans="2:12" x14ac:dyDescent="0.2">
      <c r="B35" s="16"/>
      <c r="C35" s="8" t="s">
        <v>49</v>
      </c>
      <c r="D35" s="20">
        <v>0.4</v>
      </c>
      <c r="E35" s="14"/>
      <c r="F35" s="14"/>
      <c r="G35" s="14"/>
      <c r="H35" s="14"/>
      <c r="I35" s="14"/>
      <c r="J35" s="14"/>
      <c r="K35" s="14"/>
      <c r="L35" s="21"/>
    </row>
    <row r="36" spans="2:12" x14ac:dyDescent="0.2">
      <c r="B36" s="16"/>
      <c r="C36" s="8" t="s">
        <v>39</v>
      </c>
      <c r="D36" s="22">
        <f>D33*(1-D32/100)*D35+D34*(1-D35)</f>
        <v>9</v>
      </c>
      <c r="E36" s="14"/>
      <c r="F36" s="14"/>
      <c r="G36" s="14"/>
      <c r="H36" s="14"/>
      <c r="I36" s="14"/>
      <c r="J36" s="14"/>
      <c r="K36" s="14"/>
      <c r="L36" s="21"/>
    </row>
    <row r="37" spans="2:12" x14ac:dyDescent="0.2">
      <c r="B37" s="16"/>
      <c r="C37" s="8" t="s">
        <v>40</v>
      </c>
      <c r="D37" s="20">
        <v>3</v>
      </c>
      <c r="E37" s="14"/>
      <c r="F37" s="14"/>
      <c r="G37" s="14"/>
      <c r="H37" s="14"/>
      <c r="I37" s="14"/>
      <c r="J37" s="14"/>
      <c r="K37" s="14"/>
      <c r="L37" s="21"/>
    </row>
    <row r="38" spans="2:12" x14ac:dyDescent="0.2">
      <c r="B38" s="16"/>
      <c r="C38" s="8"/>
      <c r="D38" s="23"/>
      <c r="E38" s="14"/>
      <c r="F38" s="14"/>
      <c r="G38" s="14"/>
      <c r="H38" s="14"/>
      <c r="I38" s="14"/>
      <c r="J38" s="14"/>
      <c r="K38" s="14"/>
      <c r="L38" s="21"/>
    </row>
    <row r="39" spans="2:12" x14ac:dyDescent="0.2">
      <c r="B39" s="16"/>
      <c r="C39" s="17" t="s">
        <v>31</v>
      </c>
      <c r="D39" s="23"/>
      <c r="E39" s="14"/>
      <c r="F39" s="14"/>
      <c r="G39" s="14"/>
      <c r="H39" s="14"/>
      <c r="I39" s="14"/>
      <c r="J39" s="14"/>
      <c r="K39" s="14"/>
      <c r="L39" s="21"/>
    </row>
    <row r="40" spans="2:12" x14ac:dyDescent="0.2">
      <c r="B40" s="16"/>
      <c r="C40" s="8" t="s">
        <v>18</v>
      </c>
      <c r="D40" s="24">
        <f t="shared" ref="D40:J40" si="10">D41+D42</f>
        <v>95</v>
      </c>
      <c r="E40" s="24">
        <f t="shared" si="10"/>
        <v>109.59130774400001</v>
      </c>
      <c r="F40" s="24">
        <f t="shared" si="10"/>
        <v>125.12987743008001</v>
      </c>
      <c r="G40" s="24">
        <f t="shared" si="10"/>
        <v>141.7561469941856</v>
      </c>
      <c r="H40" s="24">
        <f t="shared" si="10"/>
        <v>156.77818578069545</v>
      </c>
      <c r="I40" s="24">
        <f t="shared" si="10"/>
        <v>172.40110611866567</v>
      </c>
      <c r="J40" s="24">
        <f t="shared" si="10"/>
        <v>188.64894327015472</v>
      </c>
      <c r="K40" s="24">
        <f>K41+K42</f>
        <v>204.50879327587111</v>
      </c>
      <c r="L40" s="15"/>
    </row>
    <row r="41" spans="2:12" x14ac:dyDescent="0.2">
      <c r="B41" s="25"/>
      <c r="C41" s="26" t="s">
        <v>27</v>
      </c>
      <c r="D41" s="24">
        <v>29</v>
      </c>
      <c r="E41" s="24">
        <f t="shared" ref="E41:K41" si="11">D41+E12</f>
        <v>38.897178144000002</v>
      </c>
      <c r="F41" s="24">
        <f t="shared" si="11"/>
        <v>49.48715875808</v>
      </c>
      <c r="G41" s="24">
        <f t="shared" si="11"/>
        <v>60.818438015145603</v>
      </c>
      <c r="H41" s="24">
        <f t="shared" si="11"/>
        <v>72.602968442493832</v>
      </c>
      <c r="I41" s="24">
        <f t="shared" si="11"/>
        <v>84.858880086935983</v>
      </c>
      <c r="J41" s="24">
        <f t="shared" si="11"/>
        <v>97.605028197155832</v>
      </c>
      <c r="K41" s="24">
        <f t="shared" si="11"/>
        <v>110.73356075068227</v>
      </c>
      <c r="L41" s="15"/>
    </row>
    <row r="42" spans="2:12" x14ac:dyDescent="0.2">
      <c r="B42" s="25"/>
      <c r="C42" s="8" t="s">
        <v>19</v>
      </c>
      <c r="D42" s="24">
        <v>66</v>
      </c>
      <c r="E42" s="24">
        <f t="shared" ref="E42:K42" si="12">E29*E9/100</f>
        <v>70.694129600000011</v>
      </c>
      <c r="F42" s="24">
        <f t="shared" si="12"/>
        <v>75.642718672000015</v>
      </c>
      <c r="G42" s="24">
        <f t="shared" si="12"/>
        <v>80.937708979040011</v>
      </c>
      <c r="H42" s="24">
        <f t="shared" si="12"/>
        <v>84.17521733820162</v>
      </c>
      <c r="I42" s="24">
        <f t="shared" si="12"/>
        <v>87.542226031729697</v>
      </c>
      <c r="J42" s="24">
        <f t="shared" si="12"/>
        <v>91.043915072998885</v>
      </c>
      <c r="K42" s="24">
        <f t="shared" si="12"/>
        <v>93.775232525188841</v>
      </c>
      <c r="L42" s="15"/>
    </row>
    <row r="43" spans="2:12" x14ac:dyDescent="0.2">
      <c r="B43" s="25"/>
      <c r="C43" s="8" t="s">
        <v>38</v>
      </c>
      <c r="D43" s="24">
        <v>11.1</v>
      </c>
      <c r="E43" s="24">
        <f t="shared" ref="E43:K43" si="13">E28*E9/100</f>
        <v>11.6332112</v>
      </c>
      <c r="F43" s="24">
        <f t="shared" si="13"/>
        <v>12.447535984000002</v>
      </c>
      <c r="G43" s="24">
        <f t="shared" si="13"/>
        <v>13.318863502880003</v>
      </c>
      <c r="H43" s="24">
        <f t="shared" si="13"/>
        <v>13.851618042995204</v>
      </c>
      <c r="I43" s="24">
        <f t="shared" si="13"/>
        <v>14.405682764715012</v>
      </c>
      <c r="J43" s="24">
        <f t="shared" si="13"/>
        <v>14.981910075303613</v>
      </c>
      <c r="K43" s="24">
        <f t="shared" si="13"/>
        <v>15.431367377562722</v>
      </c>
      <c r="L43" s="15"/>
    </row>
    <row r="44" spans="2:12" x14ac:dyDescent="0.2">
      <c r="B44" s="27"/>
      <c r="C44" s="28"/>
      <c r="D44" s="28"/>
      <c r="E44" s="28"/>
      <c r="F44" s="28"/>
      <c r="G44" s="28"/>
      <c r="H44" s="28"/>
      <c r="I44" s="28"/>
      <c r="J44" s="28"/>
      <c r="K44" s="28"/>
      <c r="L44" s="29"/>
    </row>
    <row r="45" spans="2:12" x14ac:dyDescent="0.2">
      <c r="B45" s="2"/>
    </row>
  </sheetData>
  <sheetProtection password="DC54" sheet="1" objects="1" scenarios="1"/>
  <mergeCells count="4">
    <mergeCell ref="E6:J6"/>
    <mergeCell ref="B2:K2"/>
    <mergeCell ref="I21:K21"/>
    <mergeCell ref="B3:L3"/>
  </mergeCells>
  <phoneticPr fontId="0" type="noConversion"/>
  <dataValidations count="2">
    <dataValidation type="decimal" allowBlank="1" showInputMessage="1" showErrorMessage="1" sqref="D32:D35">
      <formula1>0</formula1>
      <formula2>100</formula2>
    </dataValidation>
    <dataValidation type="decimal" allowBlank="1" showInputMessage="1" showErrorMessage="1" sqref="D37">
      <formula1>-100</formula1>
      <formula2>100</formula2>
    </dataValidation>
  </dataValidations>
  <pageMargins left="0.75" right="0.75" top="1" bottom="1" header="0.5" footer="0.5"/>
  <pageSetup paperSize="9" scale="8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showGridLines="0" showRowColHeaders="0" workbookViewId="0"/>
  </sheetViews>
  <sheetFormatPr defaultRowHeight="12.75" x14ac:dyDescent="0.2"/>
  <cols>
    <col min="1" max="1" width="27.140625" style="38" customWidth="1"/>
    <col min="2" max="3" width="9.140625" style="38"/>
    <col min="4" max="4" width="16.7109375" style="38" customWidth="1"/>
    <col min="5" max="5" width="9.140625" style="38"/>
    <col min="6" max="6" width="11.5703125" style="38" customWidth="1"/>
    <col min="7" max="7" width="9.140625" style="38"/>
    <col min="8" max="8" width="6.140625" style="38" customWidth="1"/>
    <col min="9" max="16384" width="9.140625" style="38"/>
  </cols>
  <sheetData>
    <row r="1" spans="1:8" x14ac:dyDescent="0.2">
      <c r="A1" s="1"/>
      <c r="B1" s="1"/>
      <c r="C1" s="1"/>
      <c r="D1" s="1"/>
      <c r="E1" s="1"/>
      <c r="F1" s="1"/>
      <c r="G1" s="1"/>
      <c r="H1" s="1"/>
    </row>
    <row r="2" spans="1:8" ht="9" customHeight="1" x14ac:dyDescent="0.2">
      <c r="A2" s="1"/>
    </row>
    <row r="3" spans="1:8" ht="26.25" customHeight="1" x14ac:dyDescent="0.2">
      <c r="A3" s="1"/>
      <c r="B3" s="56" t="s">
        <v>64</v>
      </c>
      <c r="C3" s="57"/>
      <c r="D3" s="57"/>
      <c r="E3" s="57"/>
      <c r="F3" s="57"/>
      <c r="G3" s="57"/>
      <c r="H3" s="57"/>
    </row>
    <row r="4" spans="1:8" x14ac:dyDescent="0.2">
      <c r="A4" s="1"/>
      <c r="B4" s="41"/>
      <c r="C4" s="41"/>
      <c r="D4" s="41"/>
      <c r="E4" s="41"/>
      <c r="F4" s="41"/>
      <c r="G4" s="41"/>
      <c r="H4" s="41"/>
    </row>
    <row r="5" spans="1:8" x14ac:dyDescent="0.2">
      <c r="A5" s="1"/>
      <c r="B5" s="41"/>
      <c r="C5" s="41"/>
      <c r="D5" s="41"/>
      <c r="E5" s="41"/>
      <c r="F5" s="41"/>
      <c r="G5" s="41"/>
      <c r="H5" s="41"/>
    </row>
    <row r="6" spans="1:8" x14ac:dyDescent="0.2">
      <c r="A6" s="1"/>
      <c r="B6" s="41"/>
      <c r="C6" s="41"/>
      <c r="D6" s="41"/>
      <c r="E6" s="41"/>
      <c r="F6" s="41"/>
      <c r="G6" s="41"/>
      <c r="H6" s="41"/>
    </row>
    <row r="7" spans="1:8" x14ac:dyDescent="0.2">
      <c r="A7" s="1"/>
      <c r="B7" s="41"/>
      <c r="C7" s="41"/>
      <c r="D7" s="41"/>
      <c r="E7" s="41"/>
      <c r="F7" s="41"/>
      <c r="G7" s="41"/>
      <c r="H7" s="41"/>
    </row>
    <row r="8" spans="1:8" x14ac:dyDescent="0.2">
      <c r="A8" s="1"/>
      <c r="B8" s="41"/>
      <c r="C8" s="41"/>
      <c r="D8" s="41"/>
      <c r="E8" s="41"/>
      <c r="F8" s="41"/>
      <c r="G8" s="41"/>
      <c r="H8" s="41"/>
    </row>
    <row r="9" spans="1:8" x14ac:dyDescent="0.2">
      <c r="A9" s="1"/>
      <c r="B9" s="41"/>
      <c r="C9" s="41"/>
      <c r="D9" s="41"/>
      <c r="E9" s="41"/>
      <c r="F9" s="41"/>
      <c r="G9" s="41"/>
      <c r="H9" s="41"/>
    </row>
    <row r="10" spans="1:8" x14ac:dyDescent="0.2">
      <c r="A10" s="1"/>
      <c r="B10" s="41"/>
      <c r="C10" s="41"/>
      <c r="D10" s="41"/>
      <c r="E10" s="41"/>
      <c r="F10" s="41"/>
      <c r="G10" s="41"/>
      <c r="H10" s="41"/>
    </row>
    <row r="11" spans="1:8" x14ac:dyDescent="0.2">
      <c r="A11" s="1"/>
      <c r="B11" s="41"/>
      <c r="C11" s="41"/>
      <c r="D11" s="41"/>
      <c r="E11" s="41"/>
      <c r="F11" s="41"/>
      <c r="G11" s="41"/>
      <c r="H11" s="41"/>
    </row>
    <row r="12" spans="1:8" x14ac:dyDescent="0.2">
      <c r="A12" s="1"/>
      <c r="B12" s="41"/>
      <c r="C12" s="41"/>
      <c r="D12" s="41"/>
      <c r="E12" s="41"/>
      <c r="F12" s="41"/>
      <c r="G12" s="41"/>
      <c r="H12" s="41"/>
    </row>
    <row r="13" spans="1:8" x14ac:dyDescent="0.2">
      <c r="A13" s="1"/>
      <c r="B13" s="41"/>
      <c r="C13" s="41"/>
      <c r="D13" s="41"/>
      <c r="E13" s="41"/>
      <c r="F13" s="41"/>
      <c r="G13" s="41"/>
      <c r="H13" s="41"/>
    </row>
    <row r="14" spans="1:8" x14ac:dyDescent="0.2">
      <c r="A14" s="1"/>
      <c r="B14" s="41"/>
      <c r="C14" s="41"/>
      <c r="D14" s="41"/>
      <c r="E14" s="41"/>
      <c r="F14" s="41"/>
      <c r="G14" s="41"/>
      <c r="H14" s="41"/>
    </row>
    <row r="15" spans="1:8" x14ac:dyDescent="0.2">
      <c r="A15" s="1"/>
      <c r="B15" s="41"/>
      <c r="C15" s="41"/>
      <c r="D15" s="41"/>
      <c r="E15" s="41"/>
      <c r="F15" s="41"/>
      <c r="G15" s="41"/>
      <c r="H15" s="41"/>
    </row>
    <row r="16" spans="1:8" x14ac:dyDescent="0.2">
      <c r="A16" s="1"/>
      <c r="B16" s="41"/>
      <c r="C16" s="41"/>
      <c r="D16" s="41"/>
      <c r="E16" s="41"/>
      <c r="F16" s="41"/>
      <c r="G16" s="41"/>
      <c r="H16" s="41"/>
    </row>
    <row r="17" spans="1:8" x14ac:dyDescent="0.2">
      <c r="A17" s="1"/>
      <c r="B17" s="41"/>
      <c r="C17" s="41"/>
      <c r="D17" s="41"/>
      <c r="E17" s="41"/>
      <c r="F17" s="41"/>
      <c r="G17" s="41"/>
      <c r="H17" s="41"/>
    </row>
    <row r="18" spans="1:8" x14ac:dyDescent="0.2">
      <c r="A18" s="1"/>
      <c r="B18" s="41"/>
      <c r="C18" s="41"/>
      <c r="D18" s="41"/>
      <c r="E18" s="41"/>
      <c r="F18" s="41"/>
      <c r="G18" s="41"/>
      <c r="H18" s="41"/>
    </row>
    <row r="19" spans="1:8" x14ac:dyDescent="0.2">
      <c r="A19" s="1"/>
      <c r="B19" s="41"/>
      <c r="C19" s="41"/>
      <c r="D19" s="41"/>
      <c r="E19" s="41"/>
      <c r="F19" s="41"/>
      <c r="G19" s="41"/>
      <c r="H19" s="41"/>
    </row>
    <row r="20" spans="1:8" x14ac:dyDescent="0.2">
      <c r="A20" s="1"/>
      <c r="B20" s="41"/>
      <c r="C20" s="41"/>
      <c r="D20" s="41"/>
      <c r="E20" s="41"/>
      <c r="F20" s="41"/>
      <c r="G20" s="41"/>
      <c r="H20" s="41"/>
    </row>
    <row r="21" spans="1:8" x14ac:dyDescent="0.2">
      <c r="A21" s="1"/>
      <c r="B21" s="41"/>
      <c r="C21" s="41"/>
      <c r="D21" s="41"/>
      <c r="E21" s="41"/>
      <c r="F21" s="41"/>
      <c r="G21" s="41"/>
      <c r="H21" s="41"/>
    </row>
    <row r="22" spans="1:8" x14ac:dyDescent="0.2">
      <c r="A22" s="1"/>
      <c r="B22" s="41"/>
      <c r="C22" s="41"/>
      <c r="D22" s="41"/>
      <c r="E22" s="41"/>
      <c r="F22" s="41"/>
      <c r="G22" s="41"/>
      <c r="H22" s="41"/>
    </row>
    <row r="23" spans="1:8" ht="3" customHeight="1" x14ac:dyDescent="0.2">
      <c r="A23" s="1"/>
      <c r="B23" s="41"/>
      <c r="C23" s="41"/>
      <c r="D23" s="41"/>
      <c r="E23" s="41"/>
      <c r="F23" s="41"/>
      <c r="G23" s="41"/>
      <c r="H23" s="41"/>
    </row>
    <row r="24" spans="1:8" ht="18.75" customHeight="1" x14ac:dyDescent="0.2">
      <c r="A24" s="1"/>
      <c r="B24" s="42"/>
      <c r="C24" s="43"/>
      <c r="D24" s="43"/>
      <c r="E24" s="43"/>
      <c r="F24" s="43"/>
      <c r="G24" s="43"/>
      <c r="H24" s="6"/>
    </row>
    <row r="25" spans="1:8" x14ac:dyDescent="0.2">
      <c r="A25" s="1"/>
      <c r="B25" s="7"/>
      <c r="C25" s="3"/>
      <c r="D25" s="3" t="s">
        <v>57</v>
      </c>
      <c r="E25" s="3" t="s">
        <v>58</v>
      </c>
      <c r="F25" s="3" t="s">
        <v>60</v>
      </c>
      <c r="G25" s="3"/>
      <c r="H25" s="9"/>
    </row>
    <row r="26" spans="1:8" x14ac:dyDescent="0.2">
      <c r="A26" s="1"/>
      <c r="B26" s="40" t="s">
        <v>55</v>
      </c>
      <c r="C26" s="11" t="s">
        <v>56</v>
      </c>
      <c r="D26" s="11" t="s">
        <v>63</v>
      </c>
      <c r="E26" s="11" t="s">
        <v>59</v>
      </c>
      <c r="F26" s="11" t="s">
        <v>61</v>
      </c>
      <c r="G26" s="11" t="s">
        <v>62</v>
      </c>
      <c r="H26" s="9"/>
    </row>
    <row r="27" spans="1:8" ht="18" customHeight="1" x14ac:dyDescent="0.2">
      <c r="A27" s="1"/>
      <c r="B27" s="31">
        <v>0</v>
      </c>
      <c r="C27" s="44">
        <v>0</v>
      </c>
      <c r="D27" s="45">
        <f>'TABLE 19.2'!C23</f>
        <v>9.84</v>
      </c>
      <c r="E27" s="46">
        <f>'TABLE 19.2'!C24</f>
        <v>6</v>
      </c>
      <c r="F27" s="45">
        <f>D27</f>
        <v>9.84</v>
      </c>
      <c r="G27" s="45">
        <f t="shared" ref="G27:G45" si="0">C27*0.65*E27+(1-C27)*F27</f>
        <v>9.84</v>
      </c>
      <c r="H27" s="9"/>
    </row>
    <row r="28" spans="1:8" x14ac:dyDescent="0.2">
      <c r="A28" s="1"/>
      <c r="B28" s="31">
        <f>B27+0.05</f>
        <v>0.05</v>
      </c>
      <c r="C28" s="44">
        <f>B28/(1+B28)</f>
        <v>4.7619047619047616E-2</v>
      </c>
      <c r="D28" s="47">
        <f t="shared" ref="D28:E39" si="1">D$27</f>
        <v>9.84</v>
      </c>
      <c r="E28" s="47">
        <f t="shared" si="1"/>
        <v>6</v>
      </c>
      <c r="F28" s="45">
        <f t="shared" ref="F28:F45" si="2">F$27+(F$27-E27)*B28</f>
        <v>10.032</v>
      </c>
      <c r="G28" s="45">
        <f t="shared" si="0"/>
        <v>9.7399999999999984</v>
      </c>
      <c r="H28" s="9"/>
    </row>
    <row r="29" spans="1:8" x14ac:dyDescent="0.2">
      <c r="A29" s="1"/>
      <c r="B29" s="31">
        <f t="shared" ref="B29:B45" si="3">B28+0.05</f>
        <v>0.1</v>
      </c>
      <c r="C29" s="44">
        <f>B29/(1+B29)</f>
        <v>9.0909090909090912E-2</v>
      </c>
      <c r="D29" s="47">
        <f t="shared" si="1"/>
        <v>9.84</v>
      </c>
      <c r="E29" s="47">
        <f t="shared" si="1"/>
        <v>6</v>
      </c>
      <c r="F29" s="45">
        <f t="shared" si="2"/>
        <v>10.224</v>
      </c>
      <c r="G29" s="45">
        <f t="shared" si="0"/>
        <v>9.6490909090909103</v>
      </c>
      <c r="H29" s="9"/>
    </row>
    <row r="30" spans="1:8" x14ac:dyDescent="0.2">
      <c r="A30" s="1"/>
      <c r="B30" s="31">
        <f t="shared" si="3"/>
        <v>0.15000000000000002</v>
      </c>
      <c r="C30" s="44">
        <f>B30/(1+B30)</f>
        <v>0.13043478260869568</v>
      </c>
      <c r="D30" s="47">
        <f t="shared" si="1"/>
        <v>9.84</v>
      </c>
      <c r="E30" s="47">
        <f t="shared" si="1"/>
        <v>6</v>
      </c>
      <c r="F30" s="45">
        <f t="shared" si="2"/>
        <v>10.416</v>
      </c>
      <c r="G30" s="45">
        <f t="shared" si="0"/>
        <v>9.5660869565217386</v>
      </c>
      <c r="H30" s="9"/>
    </row>
    <row r="31" spans="1:8" x14ac:dyDescent="0.2">
      <c r="A31" s="1"/>
      <c r="B31" s="31">
        <f t="shared" si="3"/>
        <v>0.2</v>
      </c>
      <c r="C31" s="44">
        <f>B31/(1+B31)</f>
        <v>0.16666666666666669</v>
      </c>
      <c r="D31" s="47">
        <f t="shared" si="1"/>
        <v>9.84</v>
      </c>
      <c r="E31" s="47">
        <f t="shared" si="1"/>
        <v>6</v>
      </c>
      <c r="F31" s="45">
        <f t="shared" si="2"/>
        <v>10.608000000000001</v>
      </c>
      <c r="G31" s="45">
        <f t="shared" si="0"/>
        <v>9.49</v>
      </c>
      <c r="H31" s="9"/>
    </row>
    <row r="32" spans="1:8" x14ac:dyDescent="0.2">
      <c r="A32" s="1"/>
      <c r="B32" s="31">
        <f t="shared" si="3"/>
        <v>0.25</v>
      </c>
      <c r="C32" s="44">
        <f>B32/(1+B32)</f>
        <v>0.2</v>
      </c>
      <c r="D32" s="47">
        <f t="shared" si="1"/>
        <v>9.84</v>
      </c>
      <c r="E32" s="47">
        <f t="shared" si="1"/>
        <v>6</v>
      </c>
      <c r="F32" s="45">
        <f t="shared" si="2"/>
        <v>10.8</v>
      </c>
      <c r="G32" s="45">
        <f t="shared" si="0"/>
        <v>9.42</v>
      </c>
      <c r="H32" s="9"/>
    </row>
    <row r="33" spans="1:8" x14ac:dyDescent="0.2">
      <c r="A33" s="1"/>
      <c r="B33" s="31">
        <f t="shared" si="3"/>
        <v>0.3</v>
      </c>
      <c r="C33" s="44">
        <f t="shared" ref="C33:C57" si="4">B33/(1+B33)</f>
        <v>0.23076923076923075</v>
      </c>
      <c r="D33" s="47">
        <f t="shared" si="1"/>
        <v>9.84</v>
      </c>
      <c r="E33" s="47">
        <f t="shared" si="1"/>
        <v>6</v>
      </c>
      <c r="F33" s="45">
        <f t="shared" si="2"/>
        <v>10.991999999999999</v>
      </c>
      <c r="G33" s="45">
        <f t="shared" si="0"/>
        <v>9.3553846153846152</v>
      </c>
      <c r="H33" s="9"/>
    </row>
    <row r="34" spans="1:8" x14ac:dyDescent="0.2">
      <c r="A34" s="1"/>
      <c r="B34" s="31">
        <f t="shared" si="3"/>
        <v>0.35</v>
      </c>
      <c r="C34" s="44">
        <f t="shared" si="4"/>
        <v>0.25925925925925924</v>
      </c>
      <c r="D34" s="47">
        <f t="shared" si="1"/>
        <v>9.84</v>
      </c>
      <c r="E34" s="47">
        <f t="shared" si="1"/>
        <v>6</v>
      </c>
      <c r="F34" s="45">
        <f t="shared" si="2"/>
        <v>11.183999999999999</v>
      </c>
      <c r="G34" s="45">
        <f t="shared" si="0"/>
        <v>9.2955555555555538</v>
      </c>
      <c r="H34" s="9"/>
    </row>
    <row r="35" spans="1:8" x14ac:dyDescent="0.2">
      <c r="A35" s="1"/>
      <c r="B35" s="31">
        <f t="shared" si="3"/>
        <v>0.39999999999999997</v>
      </c>
      <c r="C35" s="44">
        <f t="shared" si="4"/>
        <v>0.2857142857142857</v>
      </c>
      <c r="D35" s="47">
        <f t="shared" si="1"/>
        <v>9.84</v>
      </c>
      <c r="E35" s="47">
        <f t="shared" si="1"/>
        <v>6</v>
      </c>
      <c r="F35" s="45">
        <f t="shared" si="2"/>
        <v>11.375999999999999</v>
      </c>
      <c r="G35" s="45">
        <f t="shared" si="0"/>
        <v>9.24</v>
      </c>
      <c r="H35" s="9"/>
    </row>
    <row r="36" spans="1:8" x14ac:dyDescent="0.2">
      <c r="A36" s="1"/>
      <c r="B36" s="31">
        <f t="shared" si="3"/>
        <v>0.44999999999999996</v>
      </c>
      <c r="C36" s="44">
        <f t="shared" si="4"/>
        <v>0.31034482758620685</v>
      </c>
      <c r="D36" s="47">
        <f t="shared" si="1"/>
        <v>9.84</v>
      </c>
      <c r="E36" s="47">
        <f t="shared" si="1"/>
        <v>6</v>
      </c>
      <c r="F36" s="45">
        <f t="shared" si="2"/>
        <v>11.568</v>
      </c>
      <c r="G36" s="45">
        <f t="shared" si="0"/>
        <v>9.1882758620689664</v>
      </c>
      <c r="H36" s="9"/>
    </row>
    <row r="37" spans="1:8" x14ac:dyDescent="0.2">
      <c r="A37" s="1"/>
      <c r="B37" s="31">
        <f t="shared" si="3"/>
        <v>0.49999999999999994</v>
      </c>
      <c r="C37" s="44">
        <f t="shared" si="4"/>
        <v>0.33333333333333331</v>
      </c>
      <c r="D37" s="47">
        <f t="shared" si="1"/>
        <v>9.84</v>
      </c>
      <c r="E37" s="47">
        <f t="shared" si="1"/>
        <v>6</v>
      </c>
      <c r="F37" s="45">
        <f t="shared" si="2"/>
        <v>11.76</v>
      </c>
      <c r="G37" s="45">
        <f t="shared" si="0"/>
        <v>9.14</v>
      </c>
      <c r="H37" s="9"/>
    </row>
    <row r="38" spans="1:8" x14ac:dyDescent="0.2">
      <c r="A38" s="1"/>
      <c r="B38" s="31">
        <f t="shared" si="3"/>
        <v>0.54999999999999993</v>
      </c>
      <c r="C38" s="44">
        <f t="shared" si="4"/>
        <v>0.35483870967741937</v>
      </c>
      <c r="D38" s="47">
        <f t="shared" si="1"/>
        <v>9.84</v>
      </c>
      <c r="E38" s="47">
        <f t="shared" si="1"/>
        <v>6</v>
      </c>
      <c r="F38" s="45">
        <f t="shared" si="2"/>
        <v>11.952</v>
      </c>
      <c r="G38" s="45">
        <f t="shared" si="0"/>
        <v>9.0948387096774184</v>
      </c>
      <c r="H38" s="9"/>
    </row>
    <row r="39" spans="1:8" x14ac:dyDescent="0.2">
      <c r="A39" s="1"/>
      <c r="B39" s="31">
        <f t="shared" si="3"/>
        <v>0.6</v>
      </c>
      <c r="C39" s="44">
        <f t="shared" si="4"/>
        <v>0.37499999999999994</v>
      </c>
      <c r="D39" s="47">
        <f t="shared" si="1"/>
        <v>9.84</v>
      </c>
      <c r="E39" s="47">
        <f t="shared" si="1"/>
        <v>6</v>
      </c>
      <c r="F39" s="45">
        <f t="shared" si="2"/>
        <v>12.144</v>
      </c>
      <c r="G39" s="45">
        <f t="shared" si="0"/>
        <v>9.0525000000000002</v>
      </c>
      <c r="H39" s="9"/>
    </row>
    <row r="40" spans="1:8" x14ac:dyDescent="0.2">
      <c r="A40" s="1"/>
      <c r="B40" s="31">
        <f t="shared" si="3"/>
        <v>0.65</v>
      </c>
      <c r="C40" s="44">
        <f t="shared" si="4"/>
        <v>0.39393939393939398</v>
      </c>
      <c r="D40" s="47">
        <f t="shared" ref="D40:D57" si="5">D$27</f>
        <v>9.84</v>
      </c>
      <c r="E40" s="47">
        <f>E39+0.05</f>
        <v>6.05</v>
      </c>
      <c r="F40" s="45">
        <f t="shared" si="2"/>
        <v>12.336</v>
      </c>
      <c r="G40" s="45">
        <f t="shared" si="0"/>
        <v>9.0255303030303029</v>
      </c>
      <c r="H40" s="9"/>
    </row>
    <row r="41" spans="1:8" x14ac:dyDescent="0.2">
      <c r="A41" s="1"/>
      <c r="B41" s="31">
        <f t="shared" si="3"/>
        <v>0.70000000000000007</v>
      </c>
      <c r="C41" s="44">
        <f t="shared" si="4"/>
        <v>0.41176470588235292</v>
      </c>
      <c r="D41" s="47">
        <f t="shared" si="5"/>
        <v>9.84</v>
      </c>
      <c r="E41" s="47">
        <f t="shared" ref="E41:E57" si="6">E40+0.05</f>
        <v>6.1</v>
      </c>
      <c r="F41" s="45">
        <f t="shared" si="2"/>
        <v>12.493</v>
      </c>
      <c r="G41" s="45">
        <f t="shared" si="0"/>
        <v>8.981470588235295</v>
      </c>
      <c r="H41" s="9"/>
    </row>
    <row r="42" spans="1:8" x14ac:dyDescent="0.2">
      <c r="A42" s="1"/>
      <c r="B42" s="31">
        <f t="shared" si="3"/>
        <v>0.75000000000000011</v>
      </c>
      <c r="C42" s="44">
        <f t="shared" si="4"/>
        <v>0.42857142857142866</v>
      </c>
      <c r="D42" s="47">
        <f t="shared" si="5"/>
        <v>9.84</v>
      </c>
      <c r="E42" s="47">
        <f t="shared" si="6"/>
        <v>6.1499999999999995</v>
      </c>
      <c r="F42" s="45">
        <f t="shared" si="2"/>
        <v>12.645</v>
      </c>
      <c r="G42" s="45">
        <f t="shared" si="0"/>
        <v>8.9389285714285709</v>
      </c>
      <c r="H42" s="9"/>
    </row>
    <row r="43" spans="1:8" x14ac:dyDescent="0.2">
      <c r="A43" s="1"/>
      <c r="B43" s="31">
        <f t="shared" si="3"/>
        <v>0.80000000000000016</v>
      </c>
      <c r="C43" s="44">
        <f t="shared" si="4"/>
        <v>0.44444444444444448</v>
      </c>
      <c r="D43" s="47">
        <f t="shared" si="5"/>
        <v>9.84</v>
      </c>
      <c r="E43" s="47">
        <f t="shared" si="6"/>
        <v>6.1999999999999993</v>
      </c>
      <c r="F43" s="45">
        <f t="shared" si="2"/>
        <v>12.792000000000002</v>
      </c>
      <c r="G43" s="45">
        <f t="shared" si="0"/>
        <v>8.8977777777777796</v>
      </c>
      <c r="H43" s="9"/>
    </row>
    <row r="44" spans="1:8" x14ac:dyDescent="0.2">
      <c r="A44" s="1"/>
      <c r="B44" s="31">
        <f t="shared" si="3"/>
        <v>0.8500000000000002</v>
      </c>
      <c r="C44" s="44">
        <f t="shared" si="4"/>
        <v>0.45945945945945954</v>
      </c>
      <c r="D44" s="47">
        <f t="shared" si="5"/>
        <v>9.84</v>
      </c>
      <c r="E44" s="47">
        <f t="shared" si="6"/>
        <v>6.2499999999999991</v>
      </c>
      <c r="F44" s="45">
        <f t="shared" si="2"/>
        <v>12.934000000000001</v>
      </c>
      <c r="G44" s="45">
        <f t="shared" si="0"/>
        <v>8.8579054054054041</v>
      </c>
      <c r="H44" s="9"/>
    </row>
    <row r="45" spans="1:8" x14ac:dyDescent="0.2">
      <c r="A45" s="1"/>
      <c r="B45" s="31">
        <f t="shared" si="3"/>
        <v>0.90000000000000024</v>
      </c>
      <c r="C45" s="44">
        <f t="shared" si="4"/>
        <v>0.47368421052631582</v>
      </c>
      <c r="D45" s="47">
        <f t="shared" si="5"/>
        <v>9.84</v>
      </c>
      <c r="E45" s="47">
        <f t="shared" si="6"/>
        <v>6.2999999999999989</v>
      </c>
      <c r="F45" s="45">
        <f t="shared" si="2"/>
        <v>13.071000000000002</v>
      </c>
      <c r="G45" s="45">
        <f t="shared" si="0"/>
        <v>8.8192105263157892</v>
      </c>
      <c r="H45" s="9"/>
    </row>
    <row r="46" spans="1:8" x14ac:dyDescent="0.2">
      <c r="A46" s="1"/>
      <c r="B46" s="31">
        <f t="shared" ref="B46:B57" si="7">B45+0.05</f>
        <v>0.95000000000000029</v>
      </c>
      <c r="C46" s="44">
        <f t="shared" si="4"/>
        <v>0.48717948717948728</v>
      </c>
      <c r="D46" s="47">
        <f t="shared" si="5"/>
        <v>9.84</v>
      </c>
      <c r="E46" s="47">
        <f t="shared" si="6"/>
        <v>6.3499999999999988</v>
      </c>
      <c r="F46" s="45">
        <f t="shared" ref="F46:F57" si="8">F$27+(F$27-E45)*B46</f>
        <v>13.203000000000001</v>
      </c>
      <c r="G46" s="45">
        <f t="shared" ref="G46:G57" si="9">C46*0.65*E46+(1-C46)*F46</f>
        <v>8.781602564102565</v>
      </c>
      <c r="H46" s="9"/>
    </row>
    <row r="47" spans="1:8" x14ac:dyDescent="0.2">
      <c r="A47" s="1"/>
      <c r="B47" s="31">
        <f t="shared" si="7"/>
        <v>1.0000000000000002</v>
      </c>
      <c r="C47" s="44">
        <f t="shared" si="4"/>
        <v>0.50000000000000011</v>
      </c>
      <c r="D47" s="47">
        <f t="shared" si="5"/>
        <v>9.84</v>
      </c>
      <c r="E47" s="47">
        <f t="shared" si="6"/>
        <v>6.3999999999999986</v>
      </c>
      <c r="F47" s="45">
        <f t="shared" si="8"/>
        <v>13.330000000000002</v>
      </c>
      <c r="G47" s="45">
        <f t="shared" si="9"/>
        <v>8.7449999999999992</v>
      </c>
      <c r="H47" s="9"/>
    </row>
    <row r="48" spans="1:8" x14ac:dyDescent="0.2">
      <c r="A48" s="1"/>
      <c r="B48" s="31">
        <f t="shared" si="7"/>
        <v>1.0500000000000003</v>
      </c>
      <c r="C48" s="44">
        <f t="shared" si="4"/>
        <v>0.51219512195121952</v>
      </c>
      <c r="D48" s="47">
        <f t="shared" si="5"/>
        <v>9.84</v>
      </c>
      <c r="E48" s="47">
        <f t="shared" si="6"/>
        <v>6.4499999999999984</v>
      </c>
      <c r="F48" s="45">
        <f t="shared" si="8"/>
        <v>13.452000000000002</v>
      </c>
      <c r="G48" s="45">
        <f t="shared" si="9"/>
        <v>8.7093292682926826</v>
      </c>
      <c r="H48" s="9"/>
    </row>
    <row r="49" spans="1:8" x14ac:dyDescent="0.2">
      <c r="A49" s="1"/>
      <c r="B49" s="31">
        <f t="shared" si="7"/>
        <v>1.1000000000000003</v>
      </c>
      <c r="C49" s="44">
        <f t="shared" si="4"/>
        <v>0.52380952380952384</v>
      </c>
      <c r="D49" s="47">
        <f t="shared" si="5"/>
        <v>9.84</v>
      </c>
      <c r="E49" s="47">
        <f t="shared" si="6"/>
        <v>6.4999999999999982</v>
      </c>
      <c r="F49" s="45">
        <f t="shared" si="8"/>
        <v>13.569000000000003</v>
      </c>
      <c r="G49" s="45">
        <f t="shared" si="9"/>
        <v>8.6745238095238104</v>
      </c>
      <c r="H49" s="9"/>
    </row>
    <row r="50" spans="1:8" x14ac:dyDescent="0.2">
      <c r="A50" s="1"/>
      <c r="B50" s="31">
        <f t="shared" si="7"/>
        <v>1.1500000000000004</v>
      </c>
      <c r="C50" s="44">
        <f t="shared" si="4"/>
        <v>0.53488372093023262</v>
      </c>
      <c r="D50" s="47">
        <f t="shared" si="5"/>
        <v>9.84</v>
      </c>
      <c r="E50" s="47">
        <f t="shared" si="6"/>
        <v>6.549999999999998</v>
      </c>
      <c r="F50" s="45">
        <f t="shared" si="8"/>
        <v>13.681000000000003</v>
      </c>
      <c r="G50" s="45">
        <f t="shared" si="9"/>
        <v>8.6405232558139531</v>
      </c>
      <c r="H50" s="9"/>
    </row>
    <row r="51" spans="1:8" x14ac:dyDescent="0.2">
      <c r="A51" s="1"/>
      <c r="B51" s="31">
        <f t="shared" si="7"/>
        <v>1.2000000000000004</v>
      </c>
      <c r="C51" s="44">
        <f t="shared" si="4"/>
        <v>0.54545454545454564</v>
      </c>
      <c r="D51" s="47">
        <f t="shared" si="5"/>
        <v>9.84</v>
      </c>
      <c r="E51" s="47">
        <f t="shared" si="6"/>
        <v>6.5999999999999979</v>
      </c>
      <c r="F51" s="45">
        <f t="shared" si="8"/>
        <v>13.788000000000004</v>
      </c>
      <c r="G51" s="45">
        <f t="shared" si="9"/>
        <v>8.6072727272727256</v>
      </c>
      <c r="H51" s="9"/>
    </row>
    <row r="52" spans="1:8" x14ac:dyDescent="0.2">
      <c r="A52" s="1"/>
      <c r="B52" s="31">
        <f t="shared" si="7"/>
        <v>1.2500000000000004</v>
      </c>
      <c r="C52" s="44">
        <f t="shared" si="4"/>
        <v>0.55555555555555569</v>
      </c>
      <c r="D52" s="47">
        <f t="shared" si="5"/>
        <v>9.84</v>
      </c>
      <c r="E52" s="47">
        <f t="shared" si="6"/>
        <v>6.6499999999999977</v>
      </c>
      <c r="F52" s="45">
        <f t="shared" si="8"/>
        <v>13.890000000000004</v>
      </c>
      <c r="G52" s="45">
        <f t="shared" si="9"/>
        <v>8.5747222222222206</v>
      </c>
      <c r="H52" s="9"/>
    </row>
    <row r="53" spans="1:8" x14ac:dyDescent="0.2">
      <c r="A53" s="1"/>
      <c r="B53" s="31">
        <f t="shared" si="7"/>
        <v>1.3000000000000005</v>
      </c>
      <c r="C53" s="44">
        <f t="shared" si="4"/>
        <v>0.56521739130434789</v>
      </c>
      <c r="D53" s="47">
        <f t="shared" si="5"/>
        <v>9.84</v>
      </c>
      <c r="E53" s="47">
        <f t="shared" si="6"/>
        <v>6.6999999999999975</v>
      </c>
      <c r="F53" s="45">
        <f t="shared" si="8"/>
        <v>13.987000000000005</v>
      </c>
      <c r="G53" s="45">
        <f t="shared" si="9"/>
        <v>8.5428260869565218</v>
      </c>
      <c r="H53" s="9"/>
    </row>
    <row r="54" spans="1:8" x14ac:dyDescent="0.2">
      <c r="A54" s="1"/>
      <c r="B54" s="31">
        <f t="shared" si="7"/>
        <v>1.3500000000000005</v>
      </c>
      <c r="C54" s="44">
        <f t="shared" si="4"/>
        <v>0.57446808510638303</v>
      </c>
      <c r="D54" s="47">
        <f t="shared" si="5"/>
        <v>9.84</v>
      </c>
      <c r="E54" s="47">
        <f t="shared" si="6"/>
        <v>6.7499999999999973</v>
      </c>
      <c r="F54" s="45">
        <f t="shared" si="8"/>
        <v>14.079000000000004</v>
      </c>
      <c r="G54" s="45">
        <f t="shared" si="9"/>
        <v>8.5115425531914894</v>
      </c>
      <c r="H54" s="9"/>
    </row>
    <row r="55" spans="1:8" x14ac:dyDescent="0.2">
      <c r="A55" s="1"/>
      <c r="B55" s="31">
        <f t="shared" si="7"/>
        <v>1.4000000000000006</v>
      </c>
      <c r="C55" s="44">
        <f t="shared" si="4"/>
        <v>0.58333333333333348</v>
      </c>
      <c r="D55" s="47">
        <f t="shared" si="5"/>
        <v>9.84</v>
      </c>
      <c r="E55" s="47">
        <f t="shared" si="6"/>
        <v>6.7999999999999972</v>
      </c>
      <c r="F55" s="45">
        <f t="shared" si="8"/>
        <v>14.166000000000004</v>
      </c>
      <c r="G55" s="45">
        <f t="shared" si="9"/>
        <v>8.480833333333333</v>
      </c>
      <c r="H55" s="9"/>
    </row>
    <row r="56" spans="1:8" x14ac:dyDescent="0.2">
      <c r="A56" s="1"/>
      <c r="B56" s="31">
        <f t="shared" si="7"/>
        <v>1.4500000000000006</v>
      </c>
      <c r="C56" s="44">
        <f t="shared" si="4"/>
        <v>0.59183673469387765</v>
      </c>
      <c r="D56" s="47">
        <f t="shared" si="5"/>
        <v>9.84</v>
      </c>
      <c r="E56" s="47">
        <f t="shared" si="6"/>
        <v>6.849999999999997</v>
      </c>
      <c r="F56" s="45">
        <f t="shared" si="8"/>
        <v>14.248000000000005</v>
      </c>
      <c r="G56" s="45">
        <f t="shared" si="9"/>
        <v>8.4506632653061224</v>
      </c>
      <c r="H56" s="9"/>
    </row>
    <row r="57" spans="1:8" x14ac:dyDescent="0.2">
      <c r="A57" s="1"/>
      <c r="B57" s="31">
        <f t="shared" si="7"/>
        <v>1.5000000000000007</v>
      </c>
      <c r="C57" s="44">
        <f t="shared" si="4"/>
        <v>0.60000000000000009</v>
      </c>
      <c r="D57" s="47">
        <f t="shared" si="5"/>
        <v>9.84</v>
      </c>
      <c r="E57" s="47">
        <f t="shared" si="6"/>
        <v>6.8999999999999968</v>
      </c>
      <c r="F57" s="45">
        <f t="shared" si="8"/>
        <v>14.325000000000006</v>
      </c>
      <c r="G57" s="45">
        <f t="shared" si="9"/>
        <v>8.4210000000000012</v>
      </c>
      <c r="H57" s="9"/>
    </row>
    <row r="58" spans="1:8" x14ac:dyDescent="0.2">
      <c r="A58" s="1"/>
      <c r="B58" s="31"/>
      <c r="C58" s="8"/>
      <c r="D58" s="8"/>
      <c r="E58" s="8"/>
      <c r="F58" s="8"/>
      <c r="G58" s="8"/>
      <c r="H58" s="9"/>
    </row>
    <row r="59" spans="1:8" x14ac:dyDescent="0.2">
      <c r="A59" s="1"/>
      <c r="B59" s="58" t="s">
        <v>65</v>
      </c>
      <c r="C59" s="59"/>
      <c r="D59" s="59"/>
      <c r="E59" s="59"/>
      <c r="F59" s="59"/>
      <c r="G59" s="59"/>
      <c r="H59" s="60"/>
    </row>
    <row r="60" spans="1:8" x14ac:dyDescent="0.2">
      <c r="A60" s="1"/>
      <c r="B60" s="48" t="s">
        <v>66</v>
      </c>
      <c r="C60" s="8"/>
      <c r="D60" s="8"/>
      <c r="E60" s="8"/>
      <c r="F60" s="8"/>
      <c r="G60" s="8"/>
      <c r="H60" s="9"/>
    </row>
    <row r="61" spans="1:8" x14ac:dyDescent="0.2">
      <c r="A61" s="1"/>
      <c r="B61" s="37"/>
      <c r="C61" s="28"/>
      <c r="D61" s="28"/>
      <c r="E61" s="28"/>
      <c r="F61" s="28"/>
      <c r="G61" s="28"/>
      <c r="H61" s="29"/>
    </row>
  </sheetData>
  <sheetProtection password="DC54" sheet="1" objects="1" scenarios="1"/>
  <mergeCells count="2">
    <mergeCell ref="B3:H3"/>
    <mergeCell ref="B59:H59"/>
  </mergeCells>
  <phoneticPr fontId="0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5"/>
  <sheetViews>
    <sheetView showGridLines="0" showRowColHeaders="0" workbookViewId="0"/>
  </sheetViews>
  <sheetFormatPr defaultRowHeight="12.75" x14ac:dyDescent="0.2"/>
  <cols>
    <col min="1" max="1" width="14.85546875" style="1" customWidth="1"/>
    <col min="2" max="2" width="32.85546875" style="1" customWidth="1"/>
    <col min="3" max="16384" width="9.140625" style="1"/>
  </cols>
  <sheetData>
    <row r="1" spans="2:10" ht="35.25" customHeight="1" x14ac:dyDescent="0.2"/>
    <row r="2" spans="2:10" x14ac:dyDescent="0.2">
      <c r="B2" s="50" t="s">
        <v>54</v>
      </c>
      <c r="C2" s="51"/>
      <c r="D2" s="51"/>
      <c r="E2" s="51"/>
      <c r="F2" s="51"/>
      <c r="G2" s="51"/>
      <c r="H2" s="51"/>
      <c r="I2" s="51"/>
      <c r="J2" s="61"/>
    </row>
    <row r="3" spans="2:10" x14ac:dyDescent="0.2">
      <c r="B3" s="30"/>
      <c r="C3" s="3"/>
      <c r="D3" s="3"/>
      <c r="E3" s="3"/>
      <c r="F3" s="3"/>
      <c r="G3" s="3"/>
      <c r="H3" s="3"/>
      <c r="I3" s="3"/>
      <c r="J3" s="12"/>
    </row>
    <row r="4" spans="2:10" x14ac:dyDescent="0.2">
      <c r="B4" s="31"/>
      <c r="C4" s="3" t="s">
        <v>16</v>
      </c>
      <c r="D4" s="8"/>
      <c r="E4" s="8"/>
      <c r="F4" s="8"/>
      <c r="G4" s="8"/>
      <c r="H4" s="8"/>
      <c r="I4" s="8"/>
      <c r="J4" s="9"/>
    </row>
    <row r="5" spans="2:10" ht="13.5" thickBot="1" x14ac:dyDescent="0.25">
      <c r="B5" s="31"/>
      <c r="C5" s="4" t="s">
        <v>17</v>
      </c>
      <c r="D5" s="49" t="s">
        <v>0</v>
      </c>
      <c r="E5" s="49"/>
      <c r="F5" s="49"/>
      <c r="G5" s="49"/>
      <c r="H5" s="49"/>
      <c r="I5" s="49"/>
      <c r="J5" s="32"/>
    </row>
    <row r="6" spans="2:10" x14ac:dyDescent="0.2">
      <c r="B6" s="31"/>
      <c r="C6" s="11">
        <v>0</v>
      </c>
      <c r="D6" s="11">
        <v>1</v>
      </c>
      <c r="E6" s="11">
        <v>2</v>
      </c>
      <c r="F6" s="11">
        <v>3</v>
      </c>
      <c r="G6" s="11">
        <v>4</v>
      </c>
      <c r="H6" s="11">
        <v>5</v>
      </c>
      <c r="I6" s="11">
        <v>6</v>
      </c>
      <c r="J6" s="33">
        <v>7</v>
      </c>
    </row>
    <row r="7" spans="2:10" x14ac:dyDescent="0.2">
      <c r="B7" s="31"/>
      <c r="C7" s="8"/>
      <c r="D7" s="8"/>
      <c r="E7" s="8"/>
      <c r="F7" s="8"/>
      <c r="G7" s="8"/>
      <c r="H7" s="8"/>
      <c r="I7" s="8"/>
      <c r="J7" s="9"/>
    </row>
    <row r="8" spans="2:10" x14ac:dyDescent="0.2">
      <c r="B8" s="31" t="s">
        <v>41</v>
      </c>
      <c r="C8" s="14">
        <f>'TABLE 19.1'!D19</f>
        <v>2.4837500000000006</v>
      </c>
      <c r="D8" s="14">
        <f>'TABLE 19.1'!E19</f>
        <v>3.4626679664000015</v>
      </c>
      <c r="E8" s="14">
        <f>'TABLE 19.1'!F19</f>
        <v>3.2242071244479931</v>
      </c>
      <c r="F8" s="14">
        <f>'TABLE 19.1'!G19</f>
        <v>3.4499016231593771</v>
      </c>
      <c r="G8" s="14">
        <f>'TABLE 19.1'!H19</f>
        <v>5.8843148766908229</v>
      </c>
      <c r="H8" s="14">
        <f>'TABLE 19.1'!I19</f>
        <v>6.1196874717584926</v>
      </c>
      <c r="I8" s="14">
        <f>'TABLE 19.1'!J19</f>
        <v>5.9899272187462245</v>
      </c>
      <c r="J8" s="15">
        <f>'TABLE 19.1'!K19</f>
        <v>6.8033199388340186</v>
      </c>
    </row>
    <row r="9" spans="2:10" x14ac:dyDescent="0.2">
      <c r="B9" s="31"/>
      <c r="C9" s="8"/>
      <c r="D9" s="8"/>
      <c r="E9" s="8"/>
      <c r="F9" s="8"/>
      <c r="G9" s="8"/>
      <c r="H9" s="8"/>
      <c r="I9" s="8"/>
      <c r="J9" s="9"/>
    </row>
    <row r="10" spans="2:10" x14ac:dyDescent="0.2">
      <c r="B10" s="34" t="s">
        <v>28</v>
      </c>
      <c r="C10" s="18">
        <f>NPV(C23/100,D8:I8)</f>
        <v>19.709126184067177</v>
      </c>
      <c r="D10" s="8"/>
      <c r="E10" s="8"/>
      <c r="F10" s="8"/>
      <c r="G10" s="8"/>
      <c r="H10" s="62" t="s">
        <v>30</v>
      </c>
      <c r="I10" s="62"/>
      <c r="J10" s="63"/>
    </row>
    <row r="11" spans="2:10" x14ac:dyDescent="0.2">
      <c r="B11" s="34" t="s">
        <v>29</v>
      </c>
      <c r="C11" s="18">
        <f>I11/(1+C23/100)^6</f>
        <v>64.566389128928279</v>
      </c>
      <c r="D11" s="8"/>
      <c r="E11" s="8"/>
      <c r="F11" s="8"/>
      <c r="G11" s="8"/>
      <c r="H11" s="8"/>
      <c r="I11" s="14">
        <f>'TABLE 19.1'!J22</f>
        <v>113.38866564723365</v>
      </c>
      <c r="J11" s="9"/>
    </row>
    <row r="12" spans="2:10" x14ac:dyDescent="0.2">
      <c r="B12" s="34" t="s">
        <v>42</v>
      </c>
      <c r="C12" s="18">
        <f>C10+C11</f>
        <v>84.275515312995452</v>
      </c>
      <c r="D12" s="8"/>
      <c r="E12" s="8"/>
      <c r="F12" s="8"/>
      <c r="G12" s="8"/>
      <c r="H12" s="8"/>
      <c r="I12" s="8"/>
      <c r="J12" s="9"/>
    </row>
    <row r="13" spans="2:10" x14ac:dyDescent="0.2">
      <c r="B13" s="31"/>
      <c r="C13" s="8"/>
      <c r="D13" s="8"/>
      <c r="E13" s="8"/>
      <c r="F13" s="8"/>
      <c r="G13" s="8"/>
      <c r="H13" s="8"/>
      <c r="I13" s="8"/>
      <c r="J13" s="9"/>
    </row>
    <row r="14" spans="2:10" x14ac:dyDescent="0.2">
      <c r="B14" s="31" t="s">
        <v>44</v>
      </c>
      <c r="C14" s="35">
        <v>51</v>
      </c>
      <c r="D14" s="35">
        <v>50</v>
      </c>
      <c r="E14" s="35">
        <v>49</v>
      </c>
      <c r="F14" s="35">
        <v>48</v>
      </c>
      <c r="G14" s="35">
        <v>47</v>
      </c>
      <c r="H14" s="35">
        <v>46</v>
      </c>
      <c r="I14" s="35">
        <v>45</v>
      </c>
      <c r="J14" s="9"/>
    </row>
    <row r="15" spans="2:10" x14ac:dyDescent="0.2">
      <c r="B15" s="31" t="s">
        <v>45</v>
      </c>
      <c r="C15" s="8"/>
      <c r="D15" s="8">
        <f t="shared" ref="D15:I15" si="0">($C$24/100)*C14</f>
        <v>3.06</v>
      </c>
      <c r="E15" s="36">
        <f t="shared" si="0"/>
        <v>3</v>
      </c>
      <c r="F15" s="36">
        <f t="shared" si="0"/>
        <v>2.94</v>
      </c>
      <c r="G15" s="36">
        <f t="shared" si="0"/>
        <v>2.88</v>
      </c>
      <c r="H15" s="36">
        <f t="shared" si="0"/>
        <v>2.82</v>
      </c>
      <c r="I15" s="36">
        <f t="shared" si="0"/>
        <v>2.76</v>
      </c>
      <c r="J15" s="9"/>
    </row>
    <row r="16" spans="2:10" x14ac:dyDescent="0.2">
      <c r="B16" s="31" t="s">
        <v>46</v>
      </c>
      <c r="C16" s="8"/>
      <c r="D16" s="36">
        <f t="shared" ref="D16:I16" si="1">($C$22/100)*D15</f>
        <v>1.071</v>
      </c>
      <c r="E16" s="36">
        <f t="shared" si="1"/>
        <v>1.0499999999999998</v>
      </c>
      <c r="F16" s="36">
        <f t="shared" si="1"/>
        <v>1.0289999999999999</v>
      </c>
      <c r="G16" s="36">
        <f t="shared" si="1"/>
        <v>1.008</v>
      </c>
      <c r="H16" s="36">
        <f t="shared" si="1"/>
        <v>0.98699999999999988</v>
      </c>
      <c r="I16" s="36">
        <f t="shared" si="1"/>
        <v>0.96599999999999986</v>
      </c>
      <c r="J16" s="9"/>
    </row>
    <row r="17" spans="2:10" x14ac:dyDescent="0.2">
      <c r="B17" s="34" t="s">
        <v>47</v>
      </c>
      <c r="C17" s="18">
        <f>NPV(C24/100,D16:I16)</f>
        <v>5.0258079739732064</v>
      </c>
      <c r="D17" s="8"/>
      <c r="E17" s="8"/>
      <c r="F17" s="8"/>
      <c r="G17" s="8"/>
      <c r="H17" s="8"/>
      <c r="I17" s="8"/>
      <c r="J17" s="9"/>
    </row>
    <row r="18" spans="2:10" x14ac:dyDescent="0.2">
      <c r="B18" s="34"/>
      <c r="C18" s="8"/>
      <c r="D18" s="8"/>
      <c r="E18" s="8"/>
      <c r="F18" s="8"/>
      <c r="G18" s="8"/>
      <c r="H18" s="8"/>
      <c r="I18" s="8"/>
      <c r="J18" s="9"/>
    </row>
    <row r="19" spans="2:10" x14ac:dyDescent="0.2">
      <c r="B19" s="34" t="s">
        <v>48</v>
      </c>
      <c r="C19" s="39">
        <f>C12+C17</f>
        <v>89.301323286968653</v>
      </c>
      <c r="D19" s="8"/>
      <c r="E19" s="8"/>
      <c r="F19" s="8"/>
      <c r="G19" s="8"/>
      <c r="H19" s="8"/>
      <c r="I19" s="8"/>
      <c r="J19" s="9"/>
    </row>
    <row r="20" spans="2:10" x14ac:dyDescent="0.2">
      <c r="B20" s="34"/>
      <c r="C20" s="18"/>
      <c r="D20" s="8"/>
      <c r="E20" s="8"/>
      <c r="F20" s="8"/>
      <c r="G20" s="8"/>
      <c r="H20" s="8"/>
      <c r="I20" s="8"/>
      <c r="J20" s="9"/>
    </row>
    <row r="21" spans="2:10" x14ac:dyDescent="0.2">
      <c r="B21" s="34" t="s">
        <v>37</v>
      </c>
      <c r="C21" s="8"/>
      <c r="D21" s="8"/>
      <c r="E21" s="8"/>
      <c r="F21" s="8"/>
      <c r="G21" s="8"/>
      <c r="H21" s="8"/>
      <c r="I21" s="8"/>
      <c r="J21" s="9"/>
    </row>
    <row r="22" spans="2:10" x14ac:dyDescent="0.2">
      <c r="B22" s="31" t="s">
        <v>12</v>
      </c>
      <c r="C22" s="14">
        <f>'TABLE 19.1'!D32</f>
        <v>35</v>
      </c>
      <c r="D22" s="8"/>
      <c r="E22" s="8"/>
      <c r="F22" s="8"/>
      <c r="G22" s="8"/>
      <c r="H22" s="8"/>
      <c r="I22" s="8"/>
      <c r="J22" s="9"/>
    </row>
    <row r="23" spans="2:10" x14ac:dyDescent="0.2">
      <c r="B23" s="31" t="s">
        <v>50</v>
      </c>
      <c r="C23" s="36">
        <f>'TABLE 19.1'!D33*'TABLE 19.1'!D35+'TABLE 19.1'!D34*(1-'TABLE 19.1'!D35)</f>
        <v>9.84</v>
      </c>
      <c r="D23" s="8"/>
      <c r="E23" s="8"/>
      <c r="F23" s="8"/>
      <c r="G23" s="8"/>
      <c r="H23" s="8"/>
      <c r="I23" s="8"/>
      <c r="J23" s="9"/>
    </row>
    <row r="24" spans="2:10" x14ac:dyDescent="0.2">
      <c r="B24" s="31" t="s">
        <v>43</v>
      </c>
      <c r="C24" s="14">
        <f>'TABLE 19.1'!D33</f>
        <v>6</v>
      </c>
      <c r="D24" s="8"/>
      <c r="E24" s="8"/>
      <c r="F24" s="8"/>
      <c r="G24" s="8"/>
      <c r="H24" s="8"/>
      <c r="I24" s="8"/>
      <c r="J24" s="9"/>
    </row>
    <row r="25" spans="2:10" x14ac:dyDescent="0.2">
      <c r="B25" s="37"/>
      <c r="C25" s="28"/>
      <c r="D25" s="28"/>
      <c r="E25" s="28"/>
      <c r="F25" s="28"/>
      <c r="G25" s="28"/>
      <c r="H25" s="28"/>
      <c r="I25" s="28"/>
      <c r="J25" s="29"/>
    </row>
  </sheetData>
  <sheetProtection password="DC54" sheet="1" objects="1" scenarios="1"/>
  <mergeCells count="3">
    <mergeCell ref="D5:I5"/>
    <mergeCell ref="B2:J2"/>
    <mergeCell ref="H10:J10"/>
  </mergeCells>
  <phoneticPr fontId="0" type="noConversion"/>
  <dataValidations count="1">
    <dataValidation type="decimal" allowBlank="1" showInputMessage="1" showErrorMessage="1" sqref="C14:I14">
      <formula1>0</formula1>
      <formula2>1000</formula2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19.1</vt:lpstr>
      <vt:lpstr>FIGURE 19.1</vt:lpstr>
      <vt:lpstr>TABLE 19.2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Brealey</dc:creator>
  <cp:lastModifiedBy>IT Operations</cp:lastModifiedBy>
  <cp:lastPrinted>2004-07-18T20:15:13Z</cp:lastPrinted>
  <dcterms:created xsi:type="dcterms:W3CDTF">2004-07-15T21:28:35Z</dcterms:created>
  <dcterms:modified xsi:type="dcterms:W3CDTF">2012-11-23T08:21:09Z</dcterms:modified>
</cp:coreProperties>
</file>