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90" windowWidth="14955" windowHeight="7170"/>
  </bookViews>
  <sheets>
    <sheet name="Inputs" sheetId="4" r:id="rId1"/>
    <sheet name="Stock" sheetId="1" r:id="rId2"/>
    <sheet name="Call" sheetId="2" r:id="rId3"/>
    <sheet name="Put" sheetId="5" r:id="rId4"/>
    <sheet name="wkgs" sheetId="6" state="hidden" r:id="rId5"/>
    <sheet name="." sheetId="3" r:id="rId6"/>
  </sheets>
  <calcPr calcId="145621"/>
</workbook>
</file>

<file path=xl/calcChain.xml><?xml version="1.0" encoding="utf-8"?>
<calcChain xmlns="http://schemas.openxmlformats.org/spreadsheetml/2006/main">
  <c r="B39" i="4" l="1"/>
  <c r="A368" i="6"/>
  <c r="A369" i="6" s="1"/>
  <c r="A370" i="6" s="1"/>
  <c r="A371" i="6" s="1"/>
  <c r="A372" i="6" s="1"/>
  <c r="A373" i="6" s="1"/>
  <c r="A374" i="6" s="1"/>
  <c r="A375" i="6" s="1"/>
  <c r="A376" i="6" s="1"/>
  <c r="A377" i="6" s="1"/>
  <c r="A378" i="6" s="1"/>
  <c r="A379" i="6" s="1"/>
  <c r="A380" i="6" s="1"/>
  <c r="A381" i="6" s="1"/>
  <c r="A367" i="6"/>
  <c r="B35" i="4" l="1"/>
  <c r="C51" i="4" l="1"/>
  <c r="B36" i="4"/>
  <c r="C33" i="4"/>
  <c r="C36" i="4" s="1"/>
  <c r="C37" i="4" s="1"/>
  <c r="C52" i="4" l="1"/>
  <c r="D2" i="3"/>
  <c r="C2" i="3" s="1"/>
  <c r="C3" i="6"/>
  <c r="D3" i="6" s="1"/>
  <c r="A305" i="6"/>
  <c r="A306" i="6" s="1"/>
  <c r="A307" i="6" s="1"/>
  <c r="A308" i="6" s="1"/>
  <c r="A309" i="6" s="1"/>
  <c r="A310" i="6" s="1"/>
  <c r="A311" i="6" s="1"/>
  <c r="A312" i="6" s="1"/>
  <c r="A313" i="6" s="1"/>
  <c r="A314" i="6" s="1"/>
  <c r="A315" i="6" s="1"/>
  <c r="A316" i="6" s="1"/>
  <c r="A317" i="6" s="1"/>
  <c r="A318" i="6" s="1"/>
  <c r="A319" i="6" s="1"/>
  <c r="A320" i="6" s="1"/>
  <c r="A321" i="6" s="1"/>
  <c r="A322" i="6" s="1"/>
  <c r="A323" i="6" s="1"/>
  <c r="A324" i="6" s="1"/>
  <c r="A325" i="6" s="1"/>
  <c r="A326" i="6" s="1"/>
  <c r="A327" i="6" s="1"/>
  <c r="A328" i="6" s="1"/>
  <c r="A330" i="6"/>
  <c r="A331" i="6" s="1"/>
  <c r="A332" i="6" s="1"/>
  <c r="A333" i="6" s="1"/>
  <c r="A334" i="6" s="1"/>
  <c r="A335" i="6" s="1"/>
  <c r="A336" i="6" s="1"/>
  <c r="A337" i="6" s="1"/>
  <c r="A338" i="6" s="1"/>
  <c r="A339" i="6" s="1"/>
  <c r="A340" i="6" s="1"/>
  <c r="A341" i="6" s="1"/>
  <c r="A342" i="6" s="1"/>
  <c r="A343" i="6" s="1"/>
  <c r="A344" i="6" s="1"/>
  <c r="A345" i="6" s="1"/>
  <c r="A346" i="6" s="1"/>
  <c r="A347" i="6" s="1"/>
  <c r="A348" i="6" s="1"/>
  <c r="A349" i="6" s="1"/>
  <c r="A350" i="6" s="1"/>
  <c r="A351" i="6" s="1"/>
  <c r="A352" i="6" s="1"/>
  <c r="A353" i="6" s="1"/>
  <c r="A354" i="6" s="1"/>
  <c r="A258" i="6"/>
  <c r="A259" i="6" s="1"/>
  <c r="A260" i="6" s="1"/>
  <c r="A261" i="6" s="1"/>
  <c r="A262" i="6" s="1"/>
  <c r="A263" i="6" s="1"/>
  <c r="A264" i="6" s="1"/>
  <c r="A265" i="6" s="1"/>
  <c r="A266" i="6" s="1"/>
  <c r="A267" i="6" s="1"/>
  <c r="A268" i="6" s="1"/>
  <c r="A269" i="6" s="1"/>
  <c r="A270" i="6" s="1"/>
  <c r="A271" i="6" s="1"/>
  <c r="A272" i="6" s="1"/>
  <c r="A273" i="6" s="1"/>
  <c r="A274" i="6" s="1"/>
  <c r="A275" i="6" s="1"/>
  <c r="A276" i="6" s="1"/>
  <c r="A277" i="6" s="1"/>
  <c r="A278" i="6" s="1"/>
  <c r="A279" i="6" s="1"/>
  <c r="A281" i="6"/>
  <c r="A282" i="6" s="1"/>
  <c r="A283" i="6" s="1"/>
  <c r="A284" i="6" s="1"/>
  <c r="A285" i="6" s="1"/>
  <c r="A286" i="6" s="1"/>
  <c r="A287" i="6" s="1"/>
  <c r="A288" i="6" s="1"/>
  <c r="A289" i="6" s="1"/>
  <c r="A290" i="6" s="1"/>
  <c r="A291" i="6" s="1"/>
  <c r="A292" i="6" s="1"/>
  <c r="A293" i="6" s="1"/>
  <c r="A294" i="6" s="1"/>
  <c r="A295" i="6" s="1"/>
  <c r="A296" i="6" s="1"/>
  <c r="A297" i="6" s="1"/>
  <c r="A298" i="6" s="1"/>
  <c r="A299" i="6" s="1"/>
  <c r="A300" i="6" s="1"/>
  <c r="A301" i="6" s="1"/>
  <c r="A302" i="6" s="1"/>
  <c r="A303" i="6" s="1"/>
  <c r="A195" i="6"/>
  <c r="A196" i="6" s="1"/>
  <c r="A197" i="6" s="1"/>
  <c r="A198" i="6" s="1"/>
  <c r="A199" i="6" s="1"/>
  <c r="A200" i="6" s="1"/>
  <c r="A201" i="6" s="1"/>
  <c r="A202" i="6" s="1"/>
  <c r="A203" i="6" s="1"/>
  <c r="A204" i="6" s="1"/>
  <c r="A205" i="6" s="1"/>
  <c r="A206" i="6" s="1"/>
  <c r="A207" i="6" s="1"/>
  <c r="A208" i="6" s="1"/>
  <c r="A209" i="6" s="1"/>
  <c r="A210" i="6" s="1"/>
  <c r="A211" i="6" s="1"/>
  <c r="A212" i="6" s="1"/>
  <c r="A213" i="6" s="1"/>
  <c r="A215" i="6"/>
  <c r="A216" i="6" s="1"/>
  <c r="A217" i="6" s="1"/>
  <c r="A218" i="6" s="1"/>
  <c r="A219" i="6" s="1"/>
  <c r="A220" i="6" s="1"/>
  <c r="A221" i="6" s="1"/>
  <c r="A222" i="6" s="1"/>
  <c r="A223" i="6" s="1"/>
  <c r="A224" i="6" s="1"/>
  <c r="A225" i="6" s="1"/>
  <c r="A226" i="6" s="1"/>
  <c r="A227" i="6" s="1"/>
  <c r="A228" i="6" s="1"/>
  <c r="A229" i="6" s="1"/>
  <c r="A230" i="6" s="1"/>
  <c r="A231" i="6" s="1"/>
  <c r="A232" i="6" s="1"/>
  <c r="A233" i="6" s="1"/>
  <c r="A234" i="6" s="1"/>
  <c r="A236" i="6"/>
  <c r="A237" i="6" s="1"/>
  <c r="A238" i="6" s="1"/>
  <c r="A239" i="6" s="1"/>
  <c r="A240" i="6" s="1"/>
  <c r="A241" i="6" s="1"/>
  <c r="A242" i="6" s="1"/>
  <c r="A243" i="6" s="1"/>
  <c r="A244" i="6" s="1"/>
  <c r="A245" i="6" s="1"/>
  <c r="A246" i="6" s="1"/>
  <c r="A247" i="6" s="1"/>
  <c r="A248" i="6" s="1"/>
  <c r="A249" i="6" s="1"/>
  <c r="A250" i="6" s="1"/>
  <c r="A251" i="6" s="1"/>
  <c r="A252" i="6" s="1"/>
  <c r="A253" i="6" s="1"/>
  <c r="A254" i="6" s="1"/>
  <c r="A255" i="6" s="1"/>
  <c r="A256" i="6" s="1"/>
  <c r="U2" i="1"/>
  <c r="AB4" i="2" s="1"/>
  <c r="E68" i="2" s="1"/>
  <c r="A71" i="6"/>
  <c r="A83" i="6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6" i="6"/>
  <c r="A97" i="6" s="1"/>
  <c r="A98" i="6" s="1"/>
  <c r="A99" i="6" s="1"/>
  <c r="A100" i="6" s="1"/>
  <c r="A101" i="6" s="1"/>
  <c r="A102" i="6" s="1"/>
  <c r="A103" i="6" s="1"/>
  <c r="A104" i="6" s="1"/>
  <c r="A105" i="6" s="1"/>
  <c r="A106" i="6" s="1"/>
  <c r="A107" i="6" s="1"/>
  <c r="A108" i="6" s="1"/>
  <c r="A110" i="6"/>
  <c r="A111" i="6"/>
  <c r="A112" i="6" s="1"/>
  <c r="A113" i="6" s="1"/>
  <c r="A114" i="6" s="1"/>
  <c r="A115" i="6" s="1"/>
  <c r="A116" i="6" s="1"/>
  <c r="A117" i="6" s="1"/>
  <c r="A118" i="6" s="1"/>
  <c r="A119" i="6" s="1"/>
  <c r="A120" i="6" s="1"/>
  <c r="A121" i="6" s="1"/>
  <c r="A122" i="6" s="1"/>
  <c r="A123" i="6" s="1"/>
  <c r="A125" i="6"/>
  <c r="A126" i="6"/>
  <c r="A127" i="6" s="1"/>
  <c r="A128" i="6" s="1"/>
  <c r="A129" i="6" s="1"/>
  <c r="A130" i="6" s="1"/>
  <c r="A131" i="6" s="1"/>
  <c r="A132" i="6" s="1"/>
  <c r="A133" i="6" s="1"/>
  <c r="A134" i="6" s="1"/>
  <c r="A135" i="6" s="1"/>
  <c r="A136" i="6" s="1"/>
  <c r="A137" i="6" s="1"/>
  <c r="A138" i="6" s="1"/>
  <c r="A139" i="6" s="1"/>
  <c r="A141" i="6"/>
  <c r="A142" i="6" s="1"/>
  <c r="A143" i="6" s="1"/>
  <c r="A144" i="6" s="1"/>
  <c r="A145" i="6" s="1"/>
  <c r="A146" i="6" s="1"/>
  <c r="A147" i="6" s="1"/>
  <c r="A148" i="6" s="1"/>
  <c r="A149" i="6" s="1"/>
  <c r="A150" i="6" s="1"/>
  <c r="A151" i="6" s="1"/>
  <c r="A152" i="6" s="1"/>
  <c r="A153" i="6" s="1"/>
  <c r="A154" i="6" s="1"/>
  <c r="A155" i="6" s="1"/>
  <c r="A156" i="6" s="1"/>
  <c r="A158" i="6"/>
  <c r="A159" i="6" s="1"/>
  <c r="A160" i="6" s="1"/>
  <c r="A161" i="6" s="1"/>
  <c r="A162" i="6" s="1"/>
  <c r="A163" i="6" s="1"/>
  <c r="A164" i="6" s="1"/>
  <c r="A165" i="6" s="1"/>
  <c r="A166" i="6" s="1"/>
  <c r="A167" i="6" s="1"/>
  <c r="A168" i="6" s="1"/>
  <c r="A169" i="6" s="1"/>
  <c r="A170" i="6" s="1"/>
  <c r="A171" i="6" s="1"/>
  <c r="A172" i="6" s="1"/>
  <c r="A173" i="6" s="1"/>
  <c r="A174" i="6" s="1"/>
  <c r="A176" i="6"/>
  <c r="A177" i="6"/>
  <c r="A178" i="6" s="1"/>
  <c r="A179" i="6" s="1"/>
  <c r="A180" i="6" s="1"/>
  <c r="A181" i="6" s="1"/>
  <c r="A182" i="6" s="1"/>
  <c r="A183" i="6" s="1"/>
  <c r="A184" i="6" s="1"/>
  <c r="A185" i="6" s="1"/>
  <c r="A186" i="6" s="1"/>
  <c r="A187" i="6" s="1"/>
  <c r="A188" i="6" s="1"/>
  <c r="A189" i="6" s="1"/>
  <c r="A190" i="6" s="1"/>
  <c r="A191" i="6" s="1"/>
  <c r="A192" i="6" s="1"/>
  <c r="A193" i="6" s="1"/>
  <c r="A50" i="6"/>
  <c r="A5" i="6"/>
  <c r="A7" i="6"/>
  <c r="C54" i="4"/>
  <c r="E2" i="3" s="1"/>
  <c r="A8" i="6"/>
  <c r="E91" i="2"/>
  <c r="A10" i="6"/>
  <c r="A11" i="6" s="1"/>
  <c r="A12" i="6"/>
  <c r="A14" i="6"/>
  <c r="A15" i="6"/>
  <c r="A16" i="6" s="1"/>
  <c r="A17" i="6" s="1"/>
  <c r="A19" i="6"/>
  <c r="A20" i="6"/>
  <c r="A21" i="6" s="1"/>
  <c r="A22" i="6" s="1"/>
  <c r="A23" i="6" s="1"/>
  <c r="A25" i="6"/>
  <c r="A26" i="6" s="1"/>
  <c r="A27" i="6" s="1"/>
  <c r="A28" i="6" s="1"/>
  <c r="A29" i="6" s="1"/>
  <c r="A30" i="6" s="1"/>
  <c r="A32" i="6"/>
  <c r="A33" i="6" s="1"/>
  <c r="A34" i="6" s="1"/>
  <c r="A35" i="6" s="1"/>
  <c r="A36" i="6" s="1"/>
  <c r="A37" i="6" s="1"/>
  <c r="A38" i="6" s="1"/>
  <c r="A39" i="6" s="1"/>
  <c r="A41" i="6"/>
  <c r="A42" i="6" s="1"/>
  <c r="A43" i="6" s="1"/>
  <c r="A44" i="6" s="1"/>
  <c r="A45" i="6" s="1"/>
  <c r="A46" i="6" s="1"/>
  <c r="A47" i="6" s="1"/>
  <c r="A48" i="6" s="1"/>
  <c r="A51" i="6"/>
  <c r="A52" i="6" s="1"/>
  <c r="A53" i="6" s="1"/>
  <c r="A54" i="6" s="1"/>
  <c r="A55" i="6" s="1"/>
  <c r="A56" i="6" s="1"/>
  <c r="A57" i="6" s="1"/>
  <c r="A58" i="6" s="1"/>
  <c r="A60" i="6"/>
  <c r="A61" i="6" s="1"/>
  <c r="A62" i="6" s="1"/>
  <c r="A63" i="6" s="1"/>
  <c r="A64" i="6" s="1"/>
  <c r="A65" i="6" s="1"/>
  <c r="A66" i="6" s="1"/>
  <c r="A67" i="6" s="1"/>
  <c r="A68" i="6" s="1"/>
  <c r="A69" i="6" s="1"/>
  <c r="A72" i="6"/>
  <c r="A73" i="6" s="1"/>
  <c r="A74" i="6" s="1"/>
  <c r="A75" i="6" s="1"/>
  <c r="A76" i="6" s="1"/>
  <c r="A77" i="6" s="1"/>
  <c r="A78" i="6" s="1"/>
  <c r="A79" i="6" s="1"/>
  <c r="A80" i="6" s="1"/>
  <c r="A81" i="6" s="1"/>
  <c r="O2" i="1"/>
  <c r="C66" i="1" s="1"/>
  <c r="W2" i="1"/>
  <c r="AD4" i="2" s="1"/>
  <c r="B2" i="3"/>
  <c r="L1" i="3"/>
  <c r="M1" i="3" s="1"/>
  <c r="M2" i="1"/>
  <c r="BB2" i="2"/>
  <c r="D67" i="1"/>
  <c r="X6" i="5"/>
  <c r="C31" i="4"/>
  <c r="AF4" i="2"/>
  <c r="Y2" i="1"/>
  <c r="B31" i="4"/>
  <c r="N6" i="5" l="1"/>
  <c r="Z6" i="5"/>
  <c r="V6" i="5"/>
  <c r="E66" i="2"/>
  <c r="T6" i="5"/>
  <c r="F10" i="5" s="1"/>
  <c r="H10" i="5" s="1"/>
  <c r="J10" i="5" s="1"/>
  <c r="L10" i="5" s="1"/>
  <c r="N10" i="5" s="1"/>
  <c r="V4" i="2"/>
  <c r="D65" i="1"/>
  <c r="AH4" i="2"/>
  <c r="G10" i="1"/>
  <c r="F63" i="1" s="1"/>
  <c r="C5" i="3"/>
  <c r="E5" i="3" s="1"/>
  <c r="K65" i="3" s="1"/>
  <c r="J65" i="3" s="1"/>
  <c r="L4" i="2"/>
  <c r="B6" i="3"/>
  <c r="B7" i="3" s="1"/>
  <c r="B8" i="3" s="1"/>
  <c r="F5" i="3"/>
  <c r="I5" i="3" s="1"/>
  <c r="H5" i="3" s="1"/>
  <c r="N1" i="3"/>
  <c r="H11" i="2"/>
  <c r="G65" i="2"/>
  <c r="G69" i="2"/>
  <c r="C5" i="6"/>
  <c r="D5" i="6" s="1"/>
  <c r="C4" i="6"/>
  <c r="D4" i="6" s="1"/>
  <c r="P4" i="2" l="1"/>
  <c r="T4" i="2"/>
  <c r="F119" i="2"/>
  <c r="F102" i="2"/>
  <c r="G66" i="1"/>
  <c r="F67" i="1"/>
  <c r="K5" i="3"/>
  <c r="C6" i="3"/>
  <c r="E6" i="3" s="1"/>
  <c r="I10" i="1"/>
  <c r="F65" i="1"/>
  <c r="F69" i="1"/>
  <c r="C53" i="4"/>
  <c r="Q2" i="1"/>
  <c r="C7" i="3"/>
  <c r="E7" i="3" s="1"/>
  <c r="B9" i="3"/>
  <c r="F9" i="3" s="1"/>
  <c r="C8" i="3"/>
  <c r="E8" i="3" s="1"/>
  <c r="F8" i="3"/>
  <c r="F7" i="3"/>
  <c r="F6" i="3"/>
  <c r="I67" i="2"/>
  <c r="J11" i="2"/>
  <c r="I71" i="2"/>
  <c r="I63" i="2"/>
  <c r="G70" i="2"/>
  <c r="G68" i="2"/>
  <c r="G66" i="2"/>
  <c r="G64" i="2"/>
  <c r="O1" i="3"/>
  <c r="B10" i="3"/>
  <c r="C10" i="3" s="1"/>
  <c r="C9" i="3"/>
  <c r="P10" i="5"/>
  <c r="H65" i="1" l="1"/>
  <c r="H67" i="1"/>
  <c r="H69" i="1"/>
  <c r="K10" i="1"/>
  <c r="H61" i="1"/>
  <c r="H63" i="1"/>
  <c r="I64" i="1"/>
  <c r="S2" i="1"/>
  <c r="C55" i="4"/>
  <c r="X4" i="2"/>
  <c r="H102" i="2" s="1"/>
  <c r="C11" i="1"/>
  <c r="E68" i="1"/>
  <c r="G70" i="1" s="1"/>
  <c r="I68" i="1" s="1"/>
  <c r="E64" i="1"/>
  <c r="G62" i="1" s="1"/>
  <c r="I60" i="1" s="1"/>
  <c r="P6" i="5"/>
  <c r="R6" i="5" s="1"/>
  <c r="L11" i="2"/>
  <c r="K69" i="2"/>
  <c r="K61" i="2"/>
  <c r="K73" i="2"/>
  <c r="K65" i="2"/>
  <c r="I68" i="2"/>
  <c r="I66" i="2"/>
  <c r="I72" i="2"/>
  <c r="I64" i="2"/>
  <c r="I70" i="2"/>
  <c r="I62" i="2"/>
  <c r="R10" i="5"/>
  <c r="P1" i="3"/>
  <c r="E9" i="3"/>
  <c r="B11" i="3"/>
  <c r="F10" i="3"/>
  <c r="E10" i="3"/>
  <c r="I72" i="1" l="1"/>
  <c r="K74" i="1" s="1"/>
  <c r="K62" i="1"/>
  <c r="M10" i="1"/>
  <c r="K58" i="1"/>
  <c r="J67" i="1"/>
  <c r="J61" i="1"/>
  <c r="J73" i="1"/>
  <c r="J71" i="1"/>
  <c r="K66" i="1"/>
  <c r="J69" i="1"/>
  <c r="J59" i="1"/>
  <c r="J65" i="1"/>
  <c r="AJ4" i="2"/>
  <c r="AB6" i="5"/>
  <c r="Z4" i="2"/>
  <c r="J102" i="2" s="1"/>
  <c r="C12" i="1"/>
  <c r="K13" i="1"/>
  <c r="B12" i="3"/>
  <c r="C11" i="3"/>
  <c r="F11" i="3"/>
  <c r="Q1" i="3"/>
  <c r="T10" i="5"/>
  <c r="M75" i="2"/>
  <c r="M67" i="2"/>
  <c r="M59" i="2"/>
  <c r="N11" i="2"/>
  <c r="M71" i="2"/>
  <c r="M63" i="2"/>
  <c r="K62" i="2"/>
  <c r="K70" i="2"/>
  <c r="K60" i="2"/>
  <c r="K68" i="2"/>
  <c r="K66" i="2"/>
  <c r="K74" i="2"/>
  <c r="K64" i="2"/>
  <c r="K72" i="2"/>
  <c r="K70" i="1" l="1"/>
  <c r="M68" i="1" s="1"/>
  <c r="F104" i="2"/>
  <c r="H106" i="2" s="1"/>
  <c r="O10" i="1"/>
  <c r="M64" i="1"/>
  <c r="M56" i="1"/>
  <c r="L61" i="1"/>
  <c r="L71" i="1"/>
  <c r="L73" i="1"/>
  <c r="L59" i="1"/>
  <c r="M72" i="1"/>
  <c r="M60" i="1"/>
  <c r="M76" i="1"/>
  <c r="L69" i="1"/>
  <c r="L63" i="1"/>
  <c r="L57" i="1"/>
  <c r="L65" i="1"/>
  <c r="L67" i="1"/>
  <c r="L75" i="1"/>
  <c r="F107" i="2"/>
  <c r="V10" i="5"/>
  <c r="R1" i="3"/>
  <c r="P11" i="2"/>
  <c r="O77" i="2"/>
  <c r="O69" i="2"/>
  <c r="O61" i="2"/>
  <c r="O73" i="2"/>
  <c r="O65" i="2"/>
  <c r="O57" i="2"/>
  <c r="M76" i="2"/>
  <c r="M68" i="2"/>
  <c r="M60" i="2"/>
  <c r="M58" i="2"/>
  <c r="M66" i="2"/>
  <c r="M74" i="2"/>
  <c r="M72" i="2"/>
  <c r="M64" i="2"/>
  <c r="M62" i="2"/>
  <c r="M70" i="2"/>
  <c r="E11" i="3"/>
  <c r="B13" i="3"/>
  <c r="C12" i="3"/>
  <c r="E12" i="3" s="1"/>
  <c r="F12" i="3"/>
  <c r="O58" i="1" l="1"/>
  <c r="O66" i="1"/>
  <c r="O74" i="1"/>
  <c r="O54" i="1"/>
  <c r="N61" i="1"/>
  <c r="N65" i="1"/>
  <c r="N75" i="1"/>
  <c r="N55" i="1"/>
  <c r="N77" i="1"/>
  <c r="N63" i="1"/>
  <c r="O62" i="1"/>
  <c r="Q10" i="1"/>
  <c r="O78" i="1"/>
  <c r="N69" i="1"/>
  <c r="N73" i="1"/>
  <c r="N57" i="1"/>
  <c r="N67" i="1"/>
  <c r="O70" i="1"/>
  <c r="N71" i="1"/>
  <c r="N59" i="1"/>
  <c r="B14" i="3"/>
  <c r="C13" i="3"/>
  <c r="F13" i="3"/>
  <c r="Q75" i="2"/>
  <c r="Q67" i="2"/>
  <c r="Q59" i="2"/>
  <c r="R11" i="2"/>
  <c r="Q79" i="2"/>
  <c r="Q71" i="2"/>
  <c r="Q63" i="2"/>
  <c r="Q55" i="2"/>
  <c r="O62" i="2"/>
  <c r="O70" i="2"/>
  <c r="O78" i="2"/>
  <c r="O72" i="2"/>
  <c r="O64" i="2"/>
  <c r="O56" i="2"/>
  <c r="O58" i="2"/>
  <c r="O66" i="2"/>
  <c r="O74" i="2"/>
  <c r="O76" i="2"/>
  <c r="O68" i="2"/>
  <c r="O60" i="2"/>
  <c r="S1" i="3"/>
  <c r="X10" i="5"/>
  <c r="S10" i="1" l="1"/>
  <c r="Q60" i="1"/>
  <c r="Q76" i="1"/>
  <c r="Q52" i="1"/>
  <c r="P63" i="1"/>
  <c r="P59" i="1"/>
  <c r="P75" i="1"/>
  <c r="P77" i="1"/>
  <c r="P61" i="1"/>
  <c r="Q72" i="1"/>
  <c r="P65" i="1"/>
  <c r="Q68" i="1"/>
  <c r="Q56" i="1"/>
  <c r="Q64" i="1"/>
  <c r="Q80" i="1"/>
  <c r="P55" i="1"/>
  <c r="P71" i="1"/>
  <c r="P67" i="1"/>
  <c r="P79" i="1"/>
  <c r="P69" i="1"/>
  <c r="P53" i="1"/>
  <c r="P73" i="1"/>
  <c r="P57" i="1"/>
  <c r="T1" i="3"/>
  <c r="Z10" i="5"/>
  <c r="T11" i="2"/>
  <c r="S77" i="2"/>
  <c r="S69" i="2"/>
  <c r="S61" i="2"/>
  <c r="S53" i="2"/>
  <c r="S81" i="2"/>
  <c r="S73" i="2"/>
  <c r="S65" i="2"/>
  <c r="S57" i="2"/>
  <c r="Q76" i="2"/>
  <c r="Q68" i="2"/>
  <c r="Q60" i="2"/>
  <c r="Q58" i="2"/>
  <c r="Q66" i="2"/>
  <c r="Q74" i="2"/>
  <c r="Q80" i="2"/>
  <c r="Q72" i="2"/>
  <c r="Q64" i="2"/>
  <c r="Q56" i="2"/>
  <c r="Q54" i="2"/>
  <c r="Q62" i="2"/>
  <c r="Q70" i="2"/>
  <c r="Q78" i="2"/>
  <c r="E13" i="3"/>
  <c r="B15" i="3"/>
  <c r="C14" i="3"/>
  <c r="F14" i="3"/>
  <c r="S54" i="1" l="1"/>
  <c r="S62" i="1"/>
  <c r="U10" i="1"/>
  <c r="S82" i="1"/>
  <c r="S50" i="1"/>
  <c r="R69" i="1"/>
  <c r="R53" i="1"/>
  <c r="R65" i="1"/>
  <c r="R51" i="1"/>
  <c r="R67" i="1"/>
  <c r="R63" i="1"/>
  <c r="R79" i="1"/>
  <c r="S58" i="1"/>
  <c r="S66" i="1"/>
  <c r="S74" i="1"/>
  <c r="S78" i="1"/>
  <c r="R77" i="1"/>
  <c r="R61" i="1"/>
  <c r="R73" i="1"/>
  <c r="R57" i="1"/>
  <c r="R59" i="1"/>
  <c r="R75" i="1"/>
  <c r="R55" i="1"/>
  <c r="R71" i="1"/>
  <c r="S70" i="1"/>
  <c r="R81" i="1"/>
  <c r="U1" i="3"/>
  <c r="E14" i="3"/>
  <c r="B16" i="3"/>
  <c r="C15" i="3"/>
  <c r="F15" i="3"/>
  <c r="U83" i="2"/>
  <c r="U75" i="2"/>
  <c r="U67" i="2"/>
  <c r="U59" i="2"/>
  <c r="U51" i="2"/>
  <c r="V11" i="2"/>
  <c r="U79" i="2"/>
  <c r="U71" i="2"/>
  <c r="U63" i="2"/>
  <c r="U55" i="2"/>
  <c r="S54" i="2"/>
  <c r="S62" i="2"/>
  <c r="S70" i="2"/>
  <c r="S78" i="2"/>
  <c r="S80" i="2"/>
  <c r="S72" i="2"/>
  <c r="S64" i="2"/>
  <c r="S56" i="2"/>
  <c r="S58" i="2"/>
  <c r="S66" i="2"/>
  <c r="S74" i="2"/>
  <c r="S82" i="2"/>
  <c r="S76" i="2"/>
  <c r="S68" i="2"/>
  <c r="S60" i="2"/>
  <c r="S52" i="2"/>
  <c r="AB10" i="5"/>
  <c r="U52" i="1" l="1"/>
  <c r="U60" i="1"/>
  <c r="U76" i="1"/>
  <c r="U72" i="1"/>
  <c r="U48" i="1"/>
  <c r="T63" i="1"/>
  <c r="T79" i="1"/>
  <c r="T59" i="1"/>
  <c r="T75" i="1"/>
  <c r="T77" i="1"/>
  <c r="T61" i="1"/>
  <c r="U68" i="1"/>
  <c r="T73" i="1"/>
  <c r="T57" i="1"/>
  <c r="W10" i="1"/>
  <c r="U56" i="1"/>
  <c r="U64" i="1"/>
  <c r="U84" i="1"/>
  <c r="U80" i="1"/>
  <c r="T55" i="1"/>
  <c r="T71" i="1"/>
  <c r="T51" i="1"/>
  <c r="T67" i="1"/>
  <c r="T83" i="1"/>
  <c r="T69" i="1"/>
  <c r="T53" i="1"/>
  <c r="T81" i="1"/>
  <c r="T65" i="1"/>
  <c r="T49" i="1"/>
  <c r="V1" i="3"/>
  <c r="AD10" i="5"/>
  <c r="X11" i="2"/>
  <c r="W81" i="2"/>
  <c r="W73" i="2"/>
  <c r="W65" i="2"/>
  <c r="W57" i="2"/>
  <c r="W49" i="2"/>
  <c r="W85" i="2"/>
  <c r="W77" i="2"/>
  <c r="W69" i="2"/>
  <c r="W61" i="2"/>
  <c r="W53" i="2"/>
  <c r="U84" i="2"/>
  <c r="U76" i="2"/>
  <c r="U68" i="2"/>
  <c r="U60" i="2"/>
  <c r="U52" i="2"/>
  <c r="U50" i="2"/>
  <c r="U58" i="2"/>
  <c r="U66" i="2"/>
  <c r="U74" i="2"/>
  <c r="U82" i="2"/>
  <c r="U80" i="2"/>
  <c r="U72" i="2"/>
  <c r="U64" i="2"/>
  <c r="U56" i="2"/>
  <c r="U54" i="2"/>
  <c r="U62" i="2"/>
  <c r="U70" i="2"/>
  <c r="U78" i="2"/>
  <c r="E15" i="3"/>
  <c r="B17" i="3"/>
  <c r="C16" i="3"/>
  <c r="F16" i="3"/>
  <c r="W50" i="1" l="1"/>
  <c r="W58" i="1"/>
  <c r="Y10" i="1"/>
  <c r="W78" i="1"/>
  <c r="W86" i="1"/>
  <c r="W82" i="1"/>
  <c r="V77" i="1"/>
  <c r="V61" i="1"/>
  <c r="V81" i="1"/>
  <c r="V65" i="1"/>
  <c r="V49" i="1"/>
  <c r="V59" i="1"/>
  <c r="V75" i="1"/>
  <c r="V85" i="1"/>
  <c r="V55" i="1"/>
  <c r="V71" i="1"/>
  <c r="W54" i="1"/>
  <c r="W62" i="1"/>
  <c r="W66" i="1"/>
  <c r="W74" i="1"/>
  <c r="W70" i="1"/>
  <c r="W46" i="1"/>
  <c r="V69" i="1"/>
  <c r="V53" i="1"/>
  <c r="V73" i="1"/>
  <c r="V57" i="1"/>
  <c r="V51" i="1"/>
  <c r="V67" i="1"/>
  <c r="V83" i="1"/>
  <c r="V47" i="1"/>
  <c r="V63" i="1"/>
  <c r="V79" i="1"/>
  <c r="Y83" i="2"/>
  <c r="Y75" i="2"/>
  <c r="Y67" i="2"/>
  <c r="Y59" i="2"/>
  <c r="Y51" i="2"/>
  <c r="Y47" i="2"/>
  <c r="Z11" i="2"/>
  <c r="Y87" i="2"/>
  <c r="Y79" i="2"/>
  <c r="Y71" i="2"/>
  <c r="Y63" i="2"/>
  <c r="Y55" i="2"/>
  <c r="W54" i="2"/>
  <c r="W62" i="2"/>
  <c r="W70" i="2"/>
  <c r="W78" i="2"/>
  <c r="W86" i="2"/>
  <c r="W80" i="2"/>
  <c r="W72" i="2"/>
  <c r="W64" i="2"/>
  <c r="W56" i="2"/>
  <c r="W48" i="2"/>
  <c r="W50" i="2"/>
  <c r="W58" i="2"/>
  <c r="W66" i="2"/>
  <c r="W74" i="2"/>
  <c r="W82" i="2"/>
  <c r="W84" i="2"/>
  <c r="W76" i="2"/>
  <c r="W68" i="2"/>
  <c r="W60" i="2"/>
  <c r="W52" i="2"/>
  <c r="W1" i="3"/>
  <c r="E16" i="3"/>
  <c r="B18" i="3"/>
  <c r="C17" i="3"/>
  <c r="F17" i="3"/>
  <c r="AF10" i="5"/>
  <c r="AA10" i="1" l="1"/>
  <c r="Y48" i="1"/>
  <c r="Y56" i="1"/>
  <c r="Y76" i="1"/>
  <c r="Y44" i="1"/>
  <c r="X55" i="1"/>
  <c r="X71" i="1"/>
  <c r="X51" i="1"/>
  <c r="X67" i="1"/>
  <c r="X83" i="1"/>
  <c r="X85" i="1"/>
  <c r="X69" i="1"/>
  <c r="X53" i="1"/>
  <c r="Y80" i="1"/>
  <c r="X81" i="1"/>
  <c r="X65" i="1"/>
  <c r="X49" i="1"/>
  <c r="Y68" i="1"/>
  <c r="Y64" i="1"/>
  <c r="Y52" i="1"/>
  <c r="Y60" i="1"/>
  <c r="Y88" i="1"/>
  <c r="X47" i="1"/>
  <c r="X63" i="1"/>
  <c r="X79" i="1"/>
  <c r="X59" i="1"/>
  <c r="X75" i="1"/>
  <c r="X87" i="1"/>
  <c r="X77" i="1"/>
  <c r="X61" i="1"/>
  <c r="X45" i="1"/>
  <c r="Y84" i="1"/>
  <c r="X73" i="1"/>
  <c r="X57" i="1"/>
  <c r="Y72" i="1"/>
  <c r="AH10" i="5"/>
  <c r="X1" i="3"/>
  <c r="AB11" i="2"/>
  <c r="AA89" i="2"/>
  <c r="AA81" i="2"/>
  <c r="AA73" i="2"/>
  <c r="AA65" i="2"/>
  <c r="AA57" i="2"/>
  <c r="AA49" i="2"/>
  <c r="AA85" i="2"/>
  <c r="AA77" i="2"/>
  <c r="AA69" i="2"/>
  <c r="AA61" i="2"/>
  <c r="AA53" i="2"/>
  <c r="AA45" i="2"/>
  <c r="Y84" i="2"/>
  <c r="Y76" i="2"/>
  <c r="Y68" i="2"/>
  <c r="Y60" i="2"/>
  <c r="Y52" i="2"/>
  <c r="Y50" i="2"/>
  <c r="Y58" i="2"/>
  <c r="Y66" i="2"/>
  <c r="Y74" i="2"/>
  <c r="Y82" i="2"/>
  <c r="Y88" i="2"/>
  <c r="Y80" i="2"/>
  <c r="Y72" i="2"/>
  <c r="Y64" i="2"/>
  <c r="Y56" i="2"/>
  <c r="Y48" i="2"/>
  <c r="Y46" i="2"/>
  <c r="Y54" i="2"/>
  <c r="Y62" i="2"/>
  <c r="Y70" i="2"/>
  <c r="Y78" i="2"/>
  <c r="Y86" i="2"/>
  <c r="E17" i="3"/>
  <c r="B19" i="3"/>
  <c r="C18" i="3"/>
  <c r="F18" i="3"/>
  <c r="AA46" i="1" l="1"/>
  <c r="AA54" i="1"/>
  <c r="AC10" i="1"/>
  <c r="AA66" i="1"/>
  <c r="AA90" i="1"/>
  <c r="Z85" i="1"/>
  <c r="Z69" i="1"/>
  <c r="Z53" i="1"/>
  <c r="Z81" i="1"/>
  <c r="Z65" i="1"/>
  <c r="Z49" i="1"/>
  <c r="Z51" i="1"/>
  <c r="Z67" i="1"/>
  <c r="Z83" i="1"/>
  <c r="AA78" i="1"/>
  <c r="Z47" i="1"/>
  <c r="Z63" i="1"/>
  <c r="Z79" i="1"/>
  <c r="AA82" i="1"/>
  <c r="AA50" i="1"/>
  <c r="AA58" i="1"/>
  <c r="AA62" i="1"/>
  <c r="AA74" i="1"/>
  <c r="AA42" i="1"/>
  <c r="Z77" i="1"/>
  <c r="Z61" i="1"/>
  <c r="Z45" i="1"/>
  <c r="Z73" i="1"/>
  <c r="Z57" i="1"/>
  <c r="Z43" i="1"/>
  <c r="Z59" i="1"/>
  <c r="Z75" i="1"/>
  <c r="AA70" i="1"/>
  <c r="Z89" i="1"/>
  <c r="Z55" i="1"/>
  <c r="Z71" i="1"/>
  <c r="Z87" i="1"/>
  <c r="AA86" i="1"/>
  <c r="E18" i="3"/>
  <c r="B20" i="3"/>
  <c r="C19" i="3"/>
  <c r="F19" i="3"/>
  <c r="E19" i="3"/>
  <c r="AC91" i="2"/>
  <c r="AC83" i="2"/>
  <c r="AC75" i="2"/>
  <c r="AC67" i="2"/>
  <c r="AC59" i="2"/>
  <c r="AC51" i="2"/>
  <c r="AC43" i="2"/>
  <c r="AD11" i="2"/>
  <c r="AC87" i="2"/>
  <c r="AC79" i="2"/>
  <c r="AC71" i="2"/>
  <c r="AC63" i="2"/>
  <c r="AC55" i="2"/>
  <c r="AC47" i="2"/>
  <c r="AA46" i="2"/>
  <c r="AA54" i="2"/>
  <c r="AA62" i="2"/>
  <c r="AA70" i="2"/>
  <c r="AA78" i="2"/>
  <c r="AA86" i="2"/>
  <c r="AA88" i="2"/>
  <c r="AA80" i="2"/>
  <c r="AA72" i="2"/>
  <c r="AA64" i="2"/>
  <c r="AA56" i="2"/>
  <c r="AA48" i="2"/>
  <c r="AA50" i="2"/>
  <c r="AA58" i="2"/>
  <c r="AA66" i="2"/>
  <c r="AA74" i="2"/>
  <c r="AA82" i="2"/>
  <c r="AA90" i="2"/>
  <c r="AA84" i="2"/>
  <c r="AA76" i="2"/>
  <c r="AA68" i="2"/>
  <c r="AA60" i="2"/>
  <c r="AA52" i="2"/>
  <c r="AA44" i="2"/>
  <c r="Y1" i="3"/>
  <c r="AJ10" i="5"/>
  <c r="AE10" i="1" l="1"/>
  <c r="AC64" i="1"/>
  <c r="AC48" i="1"/>
  <c r="AC56" i="1"/>
  <c r="AC92" i="1"/>
  <c r="AB71" i="1"/>
  <c r="AB75" i="1"/>
  <c r="AB55" i="1"/>
  <c r="AB87" i="1"/>
  <c r="AB43" i="1"/>
  <c r="AB59" i="1"/>
  <c r="AB91" i="1"/>
  <c r="AB77" i="1"/>
  <c r="AB45" i="1"/>
  <c r="AB89" i="1"/>
  <c r="AB57" i="1"/>
  <c r="AC80" i="1"/>
  <c r="AC60" i="1"/>
  <c r="AC44" i="1"/>
  <c r="AC52" i="1"/>
  <c r="AC76" i="1"/>
  <c r="AC40" i="1"/>
  <c r="AB83" i="1"/>
  <c r="AB47" i="1"/>
  <c r="AB63" i="1"/>
  <c r="AB79" i="1"/>
  <c r="AB51" i="1"/>
  <c r="AB67" i="1"/>
  <c r="AB85" i="1"/>
  <c r="AB69" i="1"/>
  <c r="AB53" i="1"/>
  <c r="AC72" i="1"/>
  <c r="AC88" i="1"/>
  <c r="AB81" i="1"/>
  <c r="AB65" i="1"/>
  <c r="AB49" i="1"/>
  <c r="AC68" i="1"/>
  <c r="AB61" i="1"/>
  <c r="AC84" i="1"/>
  <c r="AB73" i="1"/>
  <c r="AB41" i="1"/>
  <c r="AL10" i="5"/>
  <c r="Z1" i="3"/>
  <c r="AE89" i="2"/>
  <c r="AE81" i="2"/>
  <c r="AE85" i="2"/>
  <c r="AE73" i="2"/>
  <c r="AE65" i="2"/>
  <c r="AE57" i="2"/>
  <c r="AE49" i="2"/>
  <c r="AF11" i="2"/>
  <c r="AE93" i="2"/>
  <c r="AE77" i="2"/>
  <c r="AE69" i="2"/>
  <c r="AE61" i="2"/>
  <c r="AE53" i="2"/>
  <c r="AE45" i="2"/>
  <c r="AE41" i="2"/>
  <c r="AC92" i="2"/>
  <c r="AC84" i="2"/>
  <c r="AC76" i="2"/>
  <c r="AC68" i="2"/>
  <c r="AC60" i="2"/>
  <c r="AC52" i="2"/>
  <c r="AC44" i="2"/>
  <c r="AC42" i="2"/>
  <c r="AC50" i="2"/>
  <c r="AC58" i="2"/>
  <c r="AC66" i="2"/>
  <c r="AC74" i="2"/>
  <c r="AC82" i="2"/>
  <c r="AC90" i="2"/>
  <c r="AC88" i="2"/>
  <c r="AC80" i="2"/>
  <c r="AC72" i="2"/>
  <c r="AC64" i="2"/>
  <c r="AC56" i="2"/>
  <c r="AC48" i="2"/>
  <c r="AC46" i="2"/>
  <c r="AC54" i="2"/>
  <c r="AC62" i="2"/>
  <c r="AC70" i="2"/>
  <c r="AC78" i="2"/>
  <c r="AC86" i="2"/>
  <c r="B21" i="3"/>
  <c r="C20" i="3"/>
  <c r="F20" i="3"/>
  <c r="AE42" i="1" l="1"/>
  <c r="AE50" i="1"/>
  <c r="AE66" i="1"/>
  <c r="AE58" i="1"/>
  <c r="AE74" i="1"/>
  <c r="AE38" i="1"/>
  <c r="AD57" i="1"/>
  <c r="AD41" i="1"/>
  <c r="AD81" i="1"/>
  <c r="AD61" i="1"/>
  <c r="AD45" i="1"/>
  <c r="AD77" i="1"/>
  <c r="AD43" i="1"/>
  <c r="AD59" i="1"/>
  <c r="AD75" i="1"/>
  <c r="AD91" i="1"/>
  <c r="AE82" i="1"/>
  <c r="AD39" i="1"/>
  <c r="AD55" i="1"/>
  <c r="AD71" i="1"/>
  <c r="AD87" i="1"/>
  <c r="AE86" i="1"/>
  <c r="AE46" i="1"/>
  <c r="AE54" i="1"/>
  <c r="AG10" i="1"/>
  <c r="AE62" i="1"/>
  <c r="AE94" i="1"/>
  <c r="AD65" i="1"/>
  <c r="AD49" i="1"/>
  <c r="AD73" i="1"/>
  <c r="AD89" i="1"/>
  <c r="AD53" i="1"/>
  <c r="AD69" i="1"/>
  <c r="AD85" i="1"/>
  <c r="AD51" i="1"/>
  <c r="AD67" i="1"/>
  <c r="AD83" i="1"/>
  <c r="AE78" i="1"/>
  <c r="AD93" i="1"/>
  <c r="AD47" i="1"/>
  <c r="AD63" i="1"/>
  <c r="AD79" i="1"/>
  <c r="AE70" i="1"/>
  <c r="AE90" i="1"/>
  <c r="E20" i="3"/>
  <c r="B22" i="3"/>
  <c r="C21" i="3"/>
  <c r="F21" i="3"/>
  <c r="E21" i="3"/>
  <c r="AH11" i="2"/>
  <c r="AG39" i="2"/>
  <c r="AE46" i="2"/>
  <c r="AE54" i="2"/>
  <c r="AE62" i="2"/>
  <c r="AE70" i="2"/>
  <c r="AE78" i="2"/>
  <c r="AE86" i="2"/>
  <c r="AE94" i="2"/>
  <c r="AE88" i="2"/>
  <c r="AE80" i="2"/>
  <c r="AE72" i="2"/>
  <c r="AE64" i="2"/>
  <c r="AE56" i="2"/>
  <c r="AE48" i="2"/>
  <c r="AE40" i="2"/>
  <c r="AE42" i="2"/>
  <c r="AE50" i="2"/>
  <c r="AE58" i="2"/>
  <c r="AE66" i="2"/>
  <c r="AE74" i="2"/>
  <c r="AE82" i="2"/>
  <c r="AE90" i="2"/>
  <c r="AE92" i="2"/>
  <c r="AE84" i="2"/>
  <c r="AE76" i="2"/>
  <c r="AE68" i="2"/>
  <c r="AE60" i="2"/>
  <c r="AE52" i="2"/>
  <c r="AE44" i="2"/>
  <c r="AN10" i="5"/>
  <c r="AA1" i="3"/>
  <c r="AI10" i="1" l="1"/>
  <c r="AG60" i="1"/>
  <c r="AG44" i="1"/>
  <c r="AG76" i="1"/>
  <c r="AF79" i="1"/>
  <c r="AF47" i="1"/>
  <c r="AF81" i="1"/>
  <c r="AF59" i="1"/>
  <c r="AF77" i="1"/>
  <c r="AF53" i="1"/>
  <c r="AG88" i="1"/>
  <c r="AF49" i="1"/>
  <c r="AG84" i="1"/>
  <c r="AG56" i="1"/>
  <c r="AG40" i="1"/>
  <c r="AG48" i="1"/>
  <c r="AG64" i="1"/>
  <c r="AG96" i="1"/>
  <c r="AF87" i="1"/>
  <c r="AF71" i="1"/>
  <c r="AF55" i="1"/>
  <c r="AF39" i="1"/>
  <c r="AF89" i="1"/>
  <c r="AF73" i="1"/>
  <c r="AF83" i="1"/>
  <c r="AF67" i="1"/>
  <c r="AF51" i="1"/>
  <c r="AF85" i="1"/>
  <c r="AF95" i="1"/>
  <c r="AF61" i="1"/>
  <c r="AF45" i="1"/>
  <c r="AG68" i="1"/>
  <c r="AG92" i="1"/>
  <c r="AF57" i="1"/>
  <c r="AF41" i="1"/>
  <c r="AG80" i="1"/>
  <c r="AG52" i="1"/>
  <c r="AG36" i="1"/>
  <c r="AF63" i="1"/>
  <c r="AF93" i="1"/>
  <c r="AF91" i="1"/>
  <c r="AF75" i="1"/>
  <c r="AF43" i="1"/>
  <c r="AF69" i="1"/>
  <c r="AF37" i="1"/>
  <c r="AF65" i="1"/>
  <c r="AG72" i="1"/>
  <c r="AJ11" i="2"/>
  <c r="AG44" i="2"/>
  <c r="AI37" i="2"/>
  <c r="AG92" i="2"/>
  <c r="AG84" i="2"/>
  <c r="AG76" i="2"/>
  <c r="AG68" i="2"/>
  <c r="AG60" i="2"/>
  <c r="AG52" i="2"/>
  <c r="AG40" i="2"/>
  <c r="AG42" i="2"/>
  <c r="AG50" i="2"/>
  <c r="AG58" i="2"/>
  <c r="AG66" i="2"/>
  <c r="AG74" i="2"/>
  <c r="AG82" i="2"/>
  <c r="AG90" i="2"/>
  <c r="AG96" i="2"/>
  <c r="AG88" i="2"/>
  <c r="AG80" i="2"/>
  <c r="AG72" i="2"/>
  <c r="AG64" i="2"/>
  <c r="AG56" i="2"/>
  <c r="AG48" i="2"/>
  <c r="AG38" i="2"/>
  <c r="AG46" i="2"/>
  <c r="AG54" i="2"/>
  <c r="AG62" i="2"/>
  <c r="AG70" i="2"/>
  <c r="AG78" i="2"/>
  <c r="AG86" i="2"/>
  <c r="AG94" i="2"/>
  <c r="AB1" i="3"/>
  <c r="AP10" i="5"/>
  <c r="B23" i="3"/>
  <c r="C22" i="3"/>
  <c r="F22" i="3"/>
  <c r="AI38" i="1" l="1"/>
  <c r="AI46" i="1"/>
  <c r="AI62" i="1"/>
  <c r="AK10" i="1"/>
  <c r="AI58" i="1"/>
  <c r="AI98" i="1"/>
  <c r="AH41" i="1"/>
  <c r="AH57" i="1"/>
  <c r="AH69" i="1"/>
  <c r="AH85" i="1"/>
  <c r="AH95" i="1"/>
  <c r="AH75" i="1"/>
  <c r="AH51" i="1"/>
  <c r="AH37" i="1"/>
  <c r="AH53" i="1"/>
  <c r="AH65" i="1"/>
  <c r="AH81" i="1"/>
  <c r="AH91" i="1"/>
  <c r="AH79" i="1"/>
  <c r="AH67" i="1"/>
  <c r="AH47" i="1"/>
  <c r="AH97" i="1"/>
  <c r="AI42" i="1"/>
  <c r="AI50" i="1"/>
  <c r="AI66" i="1"/>
  <c r="AI54" i="1"/>
  <c r="AI74" i="1"/>
  <c r="AI34" i="1"/>
  <c r="AH49" i="1"/>
  <c r="AH61" i="1"/>
  <c r="AH77" i="1"/>
  <c r="AH93" i="1"/>
  <c r="AH83" i="1"/>
  <c r="AH59" i="1"/>
  <c r="AH43" i="1"/>
  <c r="AH45" i="1"/>
  <c r="AH63" i="1"/>
  <c r="AH73" i="1"/>
  <c r="AH89" i="1"/>
  <c r="AH87" i="1"/>
  <c r="AH71" i="1"/>
  <c r="AH55" i="1"/>
  <c r="AH39" i="1"/>
  <c r="AI82" i="1"/>
  <c r="AH35" i="1"/>
  <c r="AI78" i="1"/>
  <c r="AI94" i="1"/>
  <c r="AI70" i="1"/>
  <c r="AI86" i="1"/>
  <c r="AI90" i="1"/>
  <c r="E22" i="3"/>
  <c r="B24" i="3"/>
  <c r="C23" i="3"/>
  <c r="F23" i="3"/>
  <c r="AC1" i="3"/>
  <c r="AK99" i="2"/>
  <c r="AK91" i="2"/>
  <c r="AK83" i="2"/>
  <c r="AK75" i="2"/>
  <c r="AK67" i="2"/>
  <c r="AK59" i="2"/>
  <c r="AK51" i="2"/>
  <c r="AK43" i="2"/>
  <c r="AK95" i="2"/>
  <c r="AK87" i="2"/>
  <c r="AK79" i="2"/>
  <c r="AK71" i="2"/>
  <c r="AK63" i="2"/>
  <c r="AK55" i="2"/>
  <c r="AK47" i="2"/>
  <c r="AK39" i="2"/>
  <c r="AK35" i="2"/>
  <c r="AL11" i="2"/>
  <c r="AI42" i="2"/>
  <c r="AI50" i="2"/>
  <c r="AI58" i="2"/>
  <c r="AI66" i="2"/>
  <c r="AI74" i="2"/>
  <c r="AI82" i="2"/>
  <c r="AI90" i="2"/>
  <c r="AI98" i="2"/>
  <c r="AI96" i="2"/>
  <c r="AI88" i="2"/>
  <c r="AI80" i="2"/>
  <c r="AI72" i="2"/>
  <c r="AI64" i="2"/>
  <c r="AI56" i="2"/>
  <c r="AI48" i="2"/>
  <c r="AI40" i="2"/>
  <c r="AI38" i="2"/>
  <c r="AI46" i="2"/>
  <c r="AI54" i="2"/>
  <c r="AI62" i="2"/>
  <c r="AI70" i="2"/>
  <c r="AI78" i="2"/>
  <c r="AI86" i="2"/>
  <c r="AI94" i="2"/>
  <c r="AI92" i="2"/>
  <c r="AI84" i="2"/>
  <c r="AI76" i="2"/>
  <c r="AI68" i="2"/>
  <c r="AI60" i="2"/>
  <c r="AI52" i="2"/>
  <c r="AI44" i="2"/>
  <c r="AI36" i="2"/>
  <c r="AR10" i="5"/>
  <c r="AM10" i="1" l="1"/>
  <c r="AK56" i="1"/>
  <c r="AK40" i="1"/>
  <c r="AK48" i="1"/>
  <c r="AK64" i="1"/>
  <c r="AK100" i="1"/>
  <c r="AJ95" i="1"/>
  <c r="AJ79" i="1"/>
  <c r="AJ63" i="1"/>
  <c r="AJ47" i="1"/>
  <c r="AJ89" i="1"/>
  <c r="AJ77" i="1"/>
  <c r="AJ65" i="1"/>
  <c r="AJ45" i="1"/>
  <c r="AJ99" i="1"/>
  <c r="AJ83" i="1"/>
  <c r="AJ67" i="1"/>
  <c r="AJ51" i="1"/>
  <c r="AJ35" i="1"/>
  <c r="AJ93" i="1"/>
  <c r="AJ73" i="1"/>
  <c r="AJ57" i="1"/>
  <c r="AJ41" i="1"/>
  <c r="AK72" i="1"/>
  <c r="AK96" i="1"/>
  <c r="AK68" i="1"/>
  <c r="AK88" i="1"/>
  <c r="AK52" i="1"/>
  <c r="AK36" i="1"/>
  <c r="AK44" i="1"/>
  <c r="AK60" i="1"/>
  <c r="AK76" i="1"/>
  <c r="AK32" i="1"/>
  <c r="AJ87" i="1"/>
  <c r="AJ71" i="1"/>
  <c r="AJ55" i="1"/>
  <c r="AJ39" i="1"/>
  <c r="AJ85" i="1"/>
  <c r="AJ69" i="1"/>
  <c r="AJ53" i="1"/>
  <c r="AJ37" i="1"/>
  <c r="AJ91" i="1"/>
  <c r="AJ75" i="1"/>
  <c r="AJ59" i="1"/>
  <c r="AJ43" i="1"/>
  <c r="AJ97" i="1"/>
  <c r="AJ81" i="1"/>
  <c r="AJ61" i="1"/>
  <c r="AJ49" i="1"/>
  <c r="AJ33" i="1"/>
  <c r="AK80" i="1"/>
  <c r="AK92" i="1"/>
  <c r="AK84" i="1"/>
  <c r="AD1" i="3"/>
  <c r="E23" i="3"/>
  <c r="B25" i="3"/>
  <c r="C24" i="3"/>
  <c r="F24" i="3"/>
  <c r="AT10" i="5"/>
  <c r="AM101" i="2"/>
  <c r="AM93" i="2"/>
  <c r="AM85" i="2"/>
  <c r="AM77" i="2"/>
  <c r="AM69" i="2"/>
  <c r="AM61" i="2"/>
  <c r="AM53" i="2"/>
  <c r="AM45" i="2"/>
  <c r="AM37" i="2"/>
  <c r="AN11" i="2"/>
  <c r="AM97" i="2"/>
  <c r="AM89" i="2"/>
  <c r="AM81" i="2"/>
  <c r="AM73" i="2"/>
  <c r="AM65" i="2"/>
  <c r="AM57" i="2"/>
  <c r="AM49" i="2"/>
  <c r="AM41" i="2"/>
  <c r="AM33" i="2"/>
  <c r="AK96" i="2"/>
  <c r="AK88" i="2"/>
  <c r="AK80" i="2"/>
  <c r="AK72" i="2"/>
  <c r="AK64" i="2"/>
  <c r="AK56" i="2"/>
  <c r="AK48" i="2"/>
  <c r="AK40" i="2"/>
  <c r="AK34" i="2"/>
  <c r="AK42" i="2"/>
  <c r="AK50" i="2"/>
  <c r="AK58" i="2"/>
  <c r="AK66" i="2"/>
  <c r="AK74" i="2"/>
  <c r="AK82" i="2"/>
  <c r="AK90" i="2"/>
  <c r="AK98" i="2"/>
  <c r="AK100" i="2"/>
  <c r="AK92" i="2"/>
  <c r="AK84" i="2"/>
  <c r="AK76" i="2"/>
  <c r="AK68" i="2"/>
  <c r="AK60" i="2"/>
  <c r="AK52" i="2"/>
  <c r="AK44" i="2"/>
  <c r="AK36" i="2"/>
  <c r="AK38" i="2"/>
  <c r="AK46" i="2"/>
  <c r="AK54" i="2"/>
  <c r="AK62" i="2"/>
  <c r="AK70" i="2"/>
  <c r="AK78" i="2"/>
  <c r="AK86" i="2"/>
  <c r="AK94" i="2"/>
  <c r="AM34" i="1" l="1"/>
  <c r="AM42" i="1"/>
  <c r="AM58" i="1"/>
  <c r="AO10" i="1"/>
  <c r="AM54" i="1"/>
  <c r="AM74" i="1"/>
  <c r="AM30" i="1"/>
  <c r="AL41" i="1"/>
  <c r="AL57" i="1"/>
  <c r="AL73" i="1"/>
  <c r="AL89" i="1"/>
  <c r="AL99" i="1"/>
  <c r="AL91" i="1"/>
  <c r="AL71" i="1"/>
  <c r="AL55" i="1"/>
  <c r="AL39" i="1"/>
  <c r="AL45" i="1"/>
  <c r="AL61" i="1"/>
  <c r="AL77" i="1"/>
  <c r="AL93" i="1"/>
  <c r="AL83" i="1"/>
  <c r="AL67" i="1"/>
  <c r="AL51" i="1"/>
  <c r="AL35" i="1"/>
  <c r="AM86" i="1"/>
  <c r="AL31" i="1"/>
  <c r="AM78" i="1"/>
  <c r="AM98" i="1"/>
  <c r="AM38" i="1"/>
  <c r="AM46" i="1"/>
  <c r="AM62" i="1"/>
  <c r="AM50" i="1"/>
  <c r="AM66" i="1"/>
  <c r="AM102" i="1"/>
  <c r="AL33" i="1"/>
  <c r="AL49" i="1"/>
  <c r="AL65" i="1"/>
  <c r="AL81" i="1"/>
  <c r="AL97" i="1"/>
  <c r="AL95" i="1"/>
  <c r="AL79" i="1"/>
  <c r="AL59" i="1"/>
  <c r="AL47" i="1"/>
  <c r="AL37" i="1"/>
  <c r="AL53" i="1"/>
  <c r="AL69" i="1"/>
  <c r="AL85" i="1"/>
  <c r="AL87" i="1"/>
  <c r="AL75" i="1"/>
  <c r="AL63" i="1"/>
  <c r="AL43" i="1"/>
  <c r="AL101" i="1"/>
  <c r="AM90" i="1"/>
  <c r="AM70" i="1"/>
  <c r="AM82" i="1"/>
  <c r="AM94" i="1"/>
  <c r="E24" i="3"/>
  <c r="B26" i="3"/>
  <c r="C25" i="3"/>
  <c r="F25" i="3"/>
  <c r="AE1" i="3"/>
  <c r="AO103" i="2"/>
  <c r="AO95" i="2"/>
  <c r="AO87" i="2"/>
  <c r="AO79" i="2"/>
  <c r="AO71" i="2"/>
  <c r="AO63" i="2"/>
  <c r="AO55" i="2"/>
  <c r="AO47" i="2"/>
  <c r="AO39" i="2"/>
  <c r="AO31" i="2"/>
  <c r="AO99" i="2"/>
  <c r="AO83" i="2"/>
  <c r="AO67" i="2"/>
  <c r="AO51" i="2"/>
  <c r="AO35" i="2"/>
  <c r="AO91" i="2"/>
  <c r="AO75" i="2"/>
  <c r="AO59" i="2"/>
  <c r="AO43" i="2"/>
  <c r="AP11" i="2"/>
  <c r="AM34" i="2"/>
  <c r="AM42" i="2"/>
  <c r="AM50" i="2"/>
  <c r="AM58" i="2"/>
  <c r="AM66" i="2"/>
  <c r="AM74" i="2"/>
  <c r="AM82" i="2"/>
  <c r="AM90" i="2"/>
  <c r="AM98" i="2"/>
  <c r="AM96" i="2"/>
  <c r="AM88" i="2"/>
  <c r="AM80" i="2"/>
  <c r="AM72" i="2"/>
  <c r="AM64" i="2"/>
  <c r="AM56" i="2"/>
  <c r="AM48" i="2"/>
  <c r="AM40" i="2"/>
  <c r="AM32" i="2"/>
  <c r="AM38" i="2"/>
  <c r="AM46" i="2"/>
  <c r="AM54" i="2"/>
  <c r="AM62" i="2"/>
  <c r="AM70" i="2"/>
  <c r="AM78" i="2"/>
  <c r="AM86" i="2"/>
  <c r="AM94" i="2"/>
  <c r="AM102" i="2"/>
  <c r="AM100" i="2"/>
  <c r="AM92" i="2"/>
  <c r="AM84" i="2"/>
  <c r="AM76" i="2"/>
  <c r="AM68" i="2"/>
  <c r="AM60" i="2"/>
  <c r="AM52" i="2"/>
  <c r="AM44" i="2"/>
  <c r="AM36" i="2"/>
  <c r="AV10" i="5"/>
  <c r="AQ10" i="1" l="1"/>
  <c r="AO52" i="1"/>
  <c r="AO32" i="1"/>
  <c r="AO40" i="1"/>
  <c r="AO56" i="1"/>
  <c r="AO76" i="1"/>
  <c r="AO28" i="1"/>
  <c r="AN91" i="1"/>
  <c r="AN75" i="1"/>
  <c r="AN59" i="1"/>
  <c r="AN43" i="1"/>
  <c r="AN85" i="1"/>
  <c r="AN73" i="1"/>
  <c r="AN61" i="1"/>
  <c r="AN41" i="1"/>
  <c r="AN103" i="1"/>
  <c r="AN71" i="1"/>
  <c r="AN97" i="1"/>
  <c r="AN69" i="1"/>
  <c r="AN37" i="1"/>
  <c r="AO96" i="1"/>
  <c r="AO48" i="1"/>
  <c r="AO64" i="1"/>
  <c r="AO36" i="1"/>
  <c r="AO44" i="1"/>
  <c r="AO60" i="1"/>
  <c r="AO104" i="1"/>
  <c r="AN99" i="1"/>
  <c r="AN83" i="1"/>
  <c r="AN67" i="1"/>
  <c r="AN51" i="1"/>
  <c r="AN31" i="1"/>
  <c r="AN81" i="1"/>
  <c r="AN65" i="1"/>
  <c r="AN49" i="1"/>
  <c r="AN33" i="1"/>
  <c r="AN95" i="1"/>
  <c r="AN79" i="1"/>
  <c r="AN63" i="1"/>
  <c r="AN47" i="1"/>
  <c r="AN101" i="1"/>
  <c r="AN93" i="1"/>
  <c r="AN77" i="1"/>
  <c r="AN57" i="1"/>
  <c r="AN45" i="1"/>
  <c r="AN29" i="1"/>
  <c r="AO80" i="1"/>
  <c r="AO100" i="1"/>
  <c r="AO72" i="1"/>
  <c r="AO92" i="1"/>
  <c r="AN87" i="1"/>
  <c r="AN55" i="1"/>
  <c r="AN35" i="1"/>
  <c r="AN89" i="1"/>
  <c r="AN53" i="1"/>
  <c r="AO68" i="1"/>
  <c r="AO84" i="1"/>
  <c r="AO88" i="1"/>
  <c r="AQ101" i="2"/>
  <c r="AQ93" i="2"/>
  <c r="AQ85" i="2"/>
  <c r="AQ77" i="2"/>
  <c r="AQ69" i="2"/>
  <c r="AQ65" i="2"/>
  <c r="AQ57" i="2"/>
  <c r="AQ49" i="2"/>
  <c r="AQ41" i="2"/>
  <c r="AQ33" i="2"/>
  <c r="AQ89" i="2"/>
  <c r="AQ73" i="2"/>
  <c r="AQ61" i="2"/>
  <c r="AQ45" i="2"/>
  <c r="AQ29" i="2"/>
  <c r="AR11" i="2"/>
  <c r="AQ97" i="2"/>
  <c r="AQ81" i="2"/>
  <c r="AQ105" i="2"/>
  <c r="AQ53" i="2"/>
  <c r="AQ37" i="2"/>
  <c r="AO104" i="2"/>
  <c r="AO96" i="2"/>
  <c r="AO88" i="2"/>
  <c r="AO80" i="2"/>
  <c r="AO72" i="2"/>
  <c r="AO64" i="2"/>
  <c r="AO56" i="2"/>
  <c r="AO48" i="2"/>
  <c r="AO40" i="2"/>
  <c r="AO32" i="2"/>
  <c r="AO70" i="2"/>
  <c r="AO62" i="2"/>
  <c r="AO54" i="2"/>
  <c r="AO46" i="2"/>
  <c r="AO38" i="2"/>
  <c r="AO30" i="2"/>
  <c r="AO98" i="2"/>
  <c r="AO90" i="2"/>
  <c r="AO82" i="2"/>
  <c r="AO100" i="2"/>
  <c r="AO92" i="2"/>
  <c r="AO84" i="2"/>
  <c r="AO76" i="2"/>
  <c r="AO68" i="2"/>
  <c r="AO60" i="2"/>
  <c r="AO52" i="2"/>
  <c r="AO44" i="2"/>
  <c r="AO36" i="2"/>
  <c r="AO74" i="2"/>
  <c r="AO66" i="2"/>
  <c r="AO58" i="2"/>
  <c r="AO50" i="2"/>
  <c r="AO42" i="2"/>
  <c r="AO34" i="2"/>
  <c r="AO102" i="2"/>
  <c r="AO94" i="2"/>
  <c r="AO86" i="2"/>
  <c r="AO78" i="2"/>
  <c r="AF1" i="3"/>
  <c r="E25" i="3"/>
  <c r="B27" i="3"/>
  <c r="C26" i="3"/>
  <c r="F26" i="3"/>
  <c r="AX10" i="5"/>
  <c r="AQ34" i="1" l="1"/>
  <c r="AQ42" i="1"/>
  <c r="AQ58" i="1"/>
  <c r="AQ46" i="1"/>
  <c r="AQ62" i="1"/>
  <c r="AQ74" i="1"/>
  <c r="AQ106" i="1"/>
  <c r="AP33" i="1"/>
  <c r="AP49" i="1"/>
  <c r="AP65" i="1"/>
  <c r="AP81" i="1"/>
  <c r="AP97" i="1"/>
  <c r="AP95" i="1"/>
  <c r="AP87" i="1"/>
  <c r="AP67" i="1"/>
  <c r="AP51" i="1"/>
  <c r="AP35" i="1"/>
  <c r="AP37" i="1"/>
  <c r="AP53" i="1"/>
  <c r="AP69" i="1"/>
  <c r="AP85" i="1"/>
  <c r="AP101" i="1"/>
  <c r="AP83" i="1"/>
  <c r="AP71" i="1"/>
  <c r="AP59" i="1"/>
  <c r="AP39" i="1"/>
  <c r="AQ70" i="1"/>
  <c r="AQ90" i="1"/>
  <c r="AP105" i="1"/>
  <c r="AQ86" i="1"/>
  <c r="AQ94" i="1"/>
  <c r="AQ30" i="1"/>
  <c r="AQ38" i="1"/>
  <c r="AQ54" i="1"/>
  <c r="AS10" i="1"/>
  <c r="AQ50" i="1"/>
  <c r="AQ66" i="1"/>
  <c r="AQ78" i="1"/>
  <c r="AQ26" i="1"/>
  <c r="AP41" i="1"/>
  <c r="AP57" i="1"/>
  <c r="AP73" i="1"/>
  <c r="AP89" i="1"/>
  <c r="AP99" i="1"/>
  <c r="AP91" i="1"/>
  <c r="AP75" i="1"/>
  <c r="AP55" i="1"/>
  <c r="AP43" i="1"/>
  <c r="AP29" i="1"/>
  <c r="AP45" i="1"/>
  <c r="AP61" i="1"/>
  <c r="AP77" i="1"/>
  <c r="AP93" i="1"/>
  <c r="AP103" i="1"/>
  <c r="AP79" i="1"/>
  <c r="AP63" i="1"/>
  <c r="AP47" i="1"/>
  <c r="AP31" i="1"/>
  <c r="AQ102" i="1"/>
  <c r="AP27" i="1"/>
  <c r="AQ82" i="1"/>
  <c r="AQ98" i="1"/>
  <c r="AZ10" i="5"/>
  <c r="E26" i="3"/>
  <c r="B28" i="3"/>
  <c r="C27" i="3"/>
  <c r="F27" i="3"/>
  <c r="AG1" i="3"/>
  <c r="AS103" i="2"/>
  <c r="AS95" i="2"/>
  <c r="AS87" i="2"/>
  <c r="AS79" i="2"/>
  <c r="AS71" i="2"/>
  <c r="AS63" i="2"/>
  <c r="AS55" i="2"/>
  <c r="AS47" i="2"/>
  <c r="AS39" i="2"/>
  <c r="AS31" i="2"/>
  <c r="AS107" i="2"/>
  <c r="AS91" i="2"/>
  <c r="AS75" i="2"/>
  <c r="AS59" i="2"/>
  <c r="AS43" i="2"/>
  <c r="AS27" i="2"/>
  <c r="AS99" i="2"/>
  <c r="AS83" i="2"/>
  <c r="AS67" i="2"/>
  <c r="AS51" i="2"/>
  <c r="AS35" i="2"/>
  <c r="AT11" i="2"/>
  <c r="AQ34" i="2"/>
  <c r="AQ42" i="2"/>
  <c r="AQ50" i="2"/>
  <c r="AQ58" i="2"/>
  <c r="AQ66" i="2"/>
  <c r="AQ74" i="2"/>
  <c r="AQ82" i="2"/>
  <c r="AQ90" i="2"/>
  <c r="AQ98" i="2"/>
  <c r="AQ106" i="2"/>
  <c r="AQ104" i="2"/>
  <c r="AQ96" i="2"/>
  <c r="AQ88" i="2"/>
  <c r="AQ80" i="2"/>
  <c r="AQ72" i="2"/>
  <c r="AQ64" i="2"/>
  <c r="AQ56" i="2"/>
  <c r="AQ48" i="2"/>
  <c r="AQ40" i="2"/>
  <c r="AQ32" i="2"/>
  <c r="AQ30" i="2"/>
  <c r="AQ38" i="2"/>
  <c r="AQ46" i="2"/>
  <c r="AQ54" i="2"/>
  <c r="AQ62" i="2"/>
  <c r="AQ70" i="2"/>
  <c r="AQ78" i="2"/>
  <c r="AQ86" i="2"/>
  <c r="AQ94" i="2"/>
  <c r="AQ102" i="2"/>
  <c r="AQ100" i="2"/>
  <c r="AQ92" i="2"/>
  <c r="AQ84" i="2"/>
  <c r="AQ76" i="2"/>
  <c r="AQ68" i="2"/>
  <c r="AQ60" i="2"/>
  <c r="AQ52" i="2"/>
  <c r="AQ44" i="2"/>
  <c r="AQ36" i="2"/>
  <c r="AQ28" i="2"/>
  <c r="AS44" i="1" l="1"/>
  <c r="AS60" i="1"/>
  <c r="AS28" i="1"/>
  <c r="AS36" i="1"/>
  <c r="AS52" i="1"/>
  <c r="AS76" i="1"/>
  <c r="AS104" i="1"/>
  <c r="AS24" i="1"/>
  <c r="AR95" i="1"/>
  <c r="AR79" i="1"/>
  <c r="AR63" i="1"/>
  <c r="AR47" i="1"/>
  <c r="AR31" i="1"/>
  <c r="AR101" i="1"/>
  <c r="AR77" i="1"/>
  <c r="AR61" i="1"/>
  <c r="AR45" i="1"/>
  <c r="AR29" i="1"/>
  <c r="AR91" i="1"/>
  <c r="AR75" i="1"/>
  <c r="AR59" i="1"/>
  <c r="AR43" i="1"/>
  <c r="AR27" i="1"/>
  <c r="AR93" i="1"/>
  <c r="AR85" i="1"/>
  <c r="AR65" i="1"/>
  <c r="AR49" i="1"/>
  <c r="AR33" i="1"/>
  <c r="AR107" i="1"/>
  <c r="AS84" i="1"/>
  <c r="AS100" i="1"/>
  <c r="AU10" i="1"/>
  <c r="AS48" i="1"/>
  <c r="AS64" i="1"/>
  <c r="AS32" i="1"/>
  <c r="AS40" i="1"/>
  <c r="AS56" i="1"/>
  <c r="AS80" i="1"/>
  <c r="AS108" i="1"/>
  <c r="AR103" i="1"/>
  <c r="AR87" i="1"/>
  <c r="AR71" i="1"/>
  <c r="AR55" i="1"/>
  <c r="AR39" i="1"/>
  <c r="AR105" i="1"/>
  <c r="AR81" i="1"/>
  <c r="AR69" i="1"/>
  <c r="AR57" i="1"/>
  <c r="AR37" i="1"/>
  <c r="AR99" i="1"/>
  <c r="AR83" i="1"/>
  <c r="AR67" i="1"/>
  <c r="AR51" i="1"/>
  <c r="AR35" i="1"/>
  <c r="AR97" i="1"/>
  <c r="AR89" i="1"/>
  <c r="AR73" i="1"/>
  <c r="AR53" i="1"/>
  <c r="AR41" i="1"/>
  <c r="AR25" i="1"/>
  <c r="AS72" i="1"/>
  <c r="AS88" i="1"/>
  <c r="AS68" i="1"/>
  <c r="AS92" i="1"/>
  <c r="AS96" i="1"/>
  <c r="AU105" i="2"/>
  <c r="AU93" i="2"/>
  <c r="AU85" i="2"/>
  <c r="AU77" i="2"/>
  <c r="AU69" i="2"/>
  <c r="AU101" i="2"/>
  <c r="AU57" i="2"/>
  <c r="AU49" i="2"/>
  <c r="AU41" i="2"/>
  <c r="AU33" i="2"/>
  <c r="AU25" i="2"/>
  <c r="AU97" i="2"/>
  <c r="AU81" i="2"/>
  <c r="AU65" i="2"/>
  <c r="AU53" i="2"/>
  <c r="AU37" i="2"/>
  <c r="AV11" i="2"/>
  <c r="AU109" i="2"/>
  <c r="AU89" i="2"/>
  <c r="AU73" i="2"/>
  <c r="AU61" i="2"/>
  <c r="AU45" i="2"/>
  <c r="AU29" i="2"/>
  <c r="AS104" i="2"/>
  <c r="AS96" i="2"/>
  <c r="AS88" i="2"/>
  <c r="AS80" i="2"/>
  <c r="AS72" i="2"/>
  <c r="AS64" i="2"/>
  <c r="AS56" i="2"/>
  <c r="AS48" i="2"/>
  <c r="AS40" i="2"/>
  <c r="AS32" i="2"/>
  <c r="AS26" i="2"/>
  <c r="AS34" i="2"/>
  <c r="AS42" i="2"/>
  <c r="AS50" i="2"/>
  <c r="AS58" i="2"/>
  <c r="AS66" i="2"/>
  <c r="AS74" i="2"/>
  <c r="AS82" i="2"/>
  <c r="AS90" i="2"/>
  <c r="AS98" i="2"/>
  <c r="AS106" i="2"/>
  <c r="AS108" i="2"/>
  <c r="AS100" i="2"/>
  <c r="AS92" i="2"/>
  <c r="AS84" i="2"/>
  <c r="AS76" i="2"/>
  <c r="AS68" i="2"/>
  <c r="AS60" i="2"/>
  <c r="AS52" i="2"/>
  <c r="AS44" i="2"/>
  <c r="AS36" i="2"/>
  <c r="AS28" i="2"/>
  <c r="AS30" i="2"/>
  <c r="AS38" i="2"/>
  <c r="AS46" i="2"/>
  <c r="AS54" i="2"/>
  <c r="AS62" i="2"/>
  <c r="AS70" i="2"/>
  <c r="AS78" i="2"/>
  <c r="AS86" i="2"/>
  <c r="AS94" i="2"/>
  <c r="AS102" i="2"/>
  <c r="AH1" i="3"/>
  <c r="E27" i="3"/>
  <c r="B29" i="3"/>
  <c r="C28" i="3"/>
  <c r="E28" i="3" s="1"/>
  <c r="F28" i="3"/>
  <c r="BB10" i="5"/>
  <c r="AU26" i="1" l="1"/>
  <c r="AU34" i="1"/>
  <c r="AU50" i="1"/>
  <c r="AW10" i="1"/>
  <c r="AU46" i="1"/>
  <c r="AU62" i="1"/>
  <c r="AU78" i="1"/>
  <c r="AU82" i="1"/>
  <c r="AU106" i="1"/>
  <c r="AU22" i="1"/>
  <c r="AT33" i="1"/>
  <c r="AT49" i="1"/>
  <c r="AT65" i="1"/>
  <c r="AT81" i="1"/>
  <c r="AT97" i="1"/>
  <c r="AT107" i="1"/>
  <c r="AT91" i="1"/>
  <c r="AT83" i="1"/>
  <c r="AT63" i="1"/>
  <c r="AT47" i="1"/>
  <c r="AT31" i="1"/>
  <c r="AT37" i="1"/>
  <c r="AT53" i="1"/>
  <c r="AT69" i="1"/>
  <c r="AT85" i="1"/>
  <c r="AT101" i="1"/>
  <c r="AT99" i="1"/>
  <c r="AT75" i="1"/>
  <c r="AT59" i="1"/>
  <c r="AT43" i="1"/>
  <c r="AT27" i="1"/>
  <c r="AT23" i="1"/>
  <c r="AU70" i="1"/>
  <c r="AU90" i="1"/>
  <c r="AU30" i="1"/>
  <c r="AU38" i="1"/>
  <c r="AU54" i="1"/>
  <c r="AU42" i="1"/>
  <c r="AU58" i="1"/>
  <c r="AU66" i="1"/>
  <c r="AU74" i="1"/>
  <c r="AU102" i="1"/>
  <c r="AU110" i="1"/>
  <c r="AT25" i="1"/>
  <c r="AT41" i="1"/>
  <c r="AT57" i="1"/>
  <c r="AT73" i="1"/>
  <c r="AT89" i="1"/>
  <c r="AT105" i="1"/>
  <c r="AT95" i="1"/>
  <c r="AT87" i="1"/>
  <c r="AT71" i="1"/>
  <c r="AT51" i="1"/>
  <c r="AT39" i="1"/>
  <c r="AT29" i="1"/>
  <c r="AT45" i="1"/>
  <c r="AT61" i="1"/>
  <c r="AT77" i="1"/>
  <c r="AT93" i="1"/>
  <c r="AT103" i="1"/>
  <c r="AT79" i="1"/>
  <c r="AT67" i="1"/>
  <c r="AT55" i="1"/>
  <c r="AT35" i="1"/>
  <c r="AU98" i="1"/>
  <c r="AT109" i="1"/>
  <c r="AU86" i="1"/>
  <c r="AU94" i="1"/>
  <c r="BB14" i="5"/>
  <c r="AW107" i="2"/>
  <c r="AW99" i="2"/>
  <c r="AW91" i="2"/>
  <c r="AW83" i="2"/>
  <c r="AW75" i="2"/>
  <c r="AW67" i="2"/>
  <c r="AW59" i="2"/>
  <c r="AW51" i="2"/>
  <c r="AW43" i="2"/>
  <c r="AW35" i="2"/>
  <c r="AW27" i="2"/>
  <c r="AW111" i="2"/>
  <c r="AW103" i="2"/>
  <c r="AW95" i="2"/>
  <c r="AW87" i="2"/>
  <c r="AW79" i="2"/>
  <c r="AW71" i="2"/>
  <c r="AW63" i="2"/>
  <c r="AW55" i="2"/>
  <c r="AW47" i="2"/>
  <c r="AW39" i="2"/>
  <c r="AW31" i="2"/>
  <c r="AW23" i="2"/>
  <c r="AX11" i="2"/>
  <c r="AU26" i="2"/>
  <c r="AU34" i="2"/>
  <c r="AU42" i="2"/>
  <c r="AU50" i="2"/>
  <c r="AU58" i="2"/>
  <c r="AU66" i="2"/>
  <c r="AU74" i="2"/>
  <c r="AU82" i="2"/>
  <c r="AU90" i="2"/>
  <c r="AU98" i="2"/>
  <c r="AU106" i="2"/>
  <c r="AU104" i="2"/>
  <c r="AU96" i="2"/>
  <c r="AU88" i="2"/>
  <c r="AU80" i="2"/>
  <c r="AU72" i="2"/>
  <c r="AU64" i="2"/>
  <c r="AU56" i="2"/>
  <c r="AU48" i="2"/>
  <c r="AU40" i="2"/>
  <c r="AU32" i="2"/>
  <c r="AU24" i="2"/>
  <c r="AU30" i="2"/>
  <c r="AU38" i="2"/>
  <c r="AU46" i="2"/>
  <c r="AU54" i="2"/>
  <c r="AU62" i="2"/>
  <c r="AU70" i="2"/>
  <c r="AU78" i="2"/>
  <c r="AU86" i="2"/>
  <c r="AU94" i="2"/>
  <c r="AU102" i="2"/>
  <c r="AU110" i="2"/>
  <c r="AU108" i="2"/>
  <c r="AU100" i="2"/>
  <c r="AU92" i="2"/>
  <c r="AU84" i="2"/>
  <c r="AU76" i="2"/>
  <c r="AU68" i="2"/>
  <c r="AU60" i="2"/>
  <c r="AU52" i="2"/>
  <c r="AU44" i="2"/>
  <c r="AU36" i="2"/>
  <c r="AU28" i="2"/>
  <c r="B30" i="3"/>
  <c r="C29" i="3"/>
  <c r="E29" i="3" s="1"/>
  <c r="F29" i="3"/>
  <c r="AI1" i="3"/>
  <c r="AY10" i="1" l="1"/>
  <c r="AW44" i="1"/>
  <c r="AW60" i="1"/>
  <c r="AW28" i="1"/>
  <c r="AW36" i="1"/>
  <c r="AW52" i="1"/>
  <c r="AW76" i="1"/>
  <c r="AW100" i="1"/>
  <c r="AW108" i="1"/>
  <c r="AW80" i="1"/>
  <c r="AV103" i="1"/>
  <c r="AV87" i="1"/>
  <c r="AV71" i="1"/>
  <c r="AV55" i="1"/>
  <c r="AV39" i="1"/>
  <c r="AV23" i="1"/>
  <c r="AV97" i="1"/>
  <c r="AV73" i="1"/>
  <c r="AV57" i="1"/>
  <c r="AV41" i="1"/>
  <c r="AV25" i="1"/>
  <c r="AV99" i="1"/>
  <c r="AV83" i="1"/>
  <c r="AV67" i="1"/>
  <c r="AV51" i="1"/>
  <c r="AV35" i="1"/>
  <c r="AV109" i="1"/>
  <c r="AV93" i="1"/>
  <c r="AV85" i="1"/>
  <c r="AV69" i="1"/>
  <c r="AV49" i="1"/>
  <c r="AV37" i="1"/>
  <c r="AV21" i="1"/>
  <c r="AW68" i="1"/>
  <c r="AW92" i="1"/>
  <c r="AW96" i="1"/>
  <c r="AV101" i="1"/>
  <c r="AV65" i="1"/>
  <c r="AV33" i="1"/>
  <c r="AV91" i="1"/>
  <c r="AV59" i="1"/>
  <c r="AV27" i="1"/>
  <c r="AV89" i="1"/>
  <c r="AV81" i="1"/>
  <c r="AV45" i="1"/>
  <c r="AV111" i="1"/>
  <c r="AW72" i="1"/>
  <c r="AW40" i="1"/>
  <c r="AW56" i="1"/>
  <c r="AW24" i="1"/>
  <c r="AW32" i="1"/>
  <c r="AW48" i="1"/>
  <c r="AW64" i="1"/>
  <c r="AW84" i="1"/>
  <c r="AW104" i="1"/>
  <c r="AW112" i="1"/>
  <c r="AW20" i="1"/>
  <c r="AV95" i="1"/>
  <c r="AV79" i="1"/>
  <c r="AV63" i="1"/>
  <c r="AV47" i="1"/>
  <c r="AV31" i="1"/>
  <c r="AV77" i="1"/>
  <c r="AV53" i="1"/>
  <c r="AV107" i="1"/>
  <c r="AV75" i="1"/>
  <c r="AV43" i="1"/>
  <c r="AV105" i="1"/>
  <c r="AV61" i="1"/>
  <c r="AV29" i="1"/>
  <c r="AW88" i="1"/>
  <c r="B31" i="3"/>
  <c r="C30" i="3"/>
  <c r="F30" i="3"/>
  <c r="AJ1" i="3"/>
  <c r="AY113" i="2"/>
  <c r="AY105" i="2"/>
  <c r="AY97" i="2"/>
  <c r="AY89" i="2"/>
  <c r="AY81" i="2"/>
  <c r="AY73" i="2"/>
  <c r="AY65" i="2"/>
  <c r="AY53" i="2"/>
  <c r="AY45" i="2"/>
  <c r="AY37" i="2"/>
  <c r="AY29" i="2"/>
  <c r="AY57" i="2"/>
  <c r="AY109" i="2"/>
  <c r="AY101" i="2"/>
  <c r="AY93" i="2"/>
  <c r="AY85" i="2"/>
  <c r="AY77" i="2"/>
  <c r="AY69" i="2"/>
  <c r="AY61" i="2"/>
  <c r="AY49" i="2"/>
  <c r="AY41" i="2"/>
  <c r="AY33" i="2"/>
  <c r="AY25" i="2"/>
  <c r="AY21" i="2"/>
  <c r="AZ11" i="2"/>
  <c r="AW112" i="2"/>
  <c r="AW104" i="2"/>
  <c r="AW96" i="2"/>
  <c r="AW88" i="2"/>
  <c r="AW80" i="2"/>
  <c r="AW72" i="2"/>
  <c r="AW64" i="2"/>
  <c r="AW56" i="2"/>
  <c r="AW48" i="2"/>
  <c r="AW40" i="2"/>
  <c r="AW32" i="2"/>
  <c r="AW24" i="2"/>
  <c r="AW26" i="2"/>
  <c r="AW34" i="2"/>
  <c r="AW42" i="2"/>
  <c r="AW50" i="2"/>
  <c r="AW58" i="2"/>
  <c r="AW66" i="2"/>
  <c r="AW74" i="2"/>
  <c r="AW82" i="2"/>
  <c r="AW90" i="2"/>
  <c r="AW98" i="2"/>
  <c r="AW106" i="2"/>
  <c r="AW108" i="2"/>
  <c r="AW100" i="2"/>
  <c r="AW92" i="2"/>
  <c r="AW84" i="2"/>
  <c r="AW76" i="2"/>
  <c r="AW68" i="2"/>
  <c r="AW60" i="2"/>
  <c r="AW52" i="2"/>
  <c r="AW44" i="2"/>
  <c r="AW36" i="2"/>
  <c r="AW28" i="2"/>
  <c r="AW22" i="2"/>
  <c r="AW30" i="2"/>
  <c r="AW38" i="2"/>
  <c r="AW46" i="2"/>
  <c r="AW54" i="2"/>
  <c r="AW62" i="2"/>
  <c r="AW70" i="2"/>
  <c r="AW78" i="2"/>
  <c r="AW86" i="2"/>
  <c r="AW94" i="2"/>
  <c r="AW102" i="2"/>
  <c r="AW110" i="2"/>
  <c r="AY26" i="1" l="1"/>
  <c r="AY34" i="1"/>
  <c r="AY50" i="1"/>
  <c r="AY38" i="1"/>
  <c r="AY54" i="1"/>
  <c r="AY66" i="1"/>
  <c r="AY78" i="1"/>
  <c r="AY62" i="1"/>
  <c r="AY98" i="1"/>
  <c r="AY106" i="1"/>
  <c r="AY114" i="1"/>
  <c r="AX25" i="1"/>
  <c r="AX41" i="1"/>
  <c r="AX57" i="1"/>
  <c r="AX73" i="1"/>
  <c r="AX89" i="1"/>
  <c r="AX105" i="1"/>
  <c r="AX103" i="1"/>
  <c r="AX87" i="1"/>
  <c r="AX79" i="1"/>
  <c r="AX59" i="1"/>
  <c r="AX43" i="1"/>
  <c r="AX27" i="1"/>
  <c r="AX21" i="1"/>
  <c r="AX37" i="1"/>
  <c r="AX53" i="1"/>
  <c r="AX69" i="1"/>
  <c r="AX85" i="1"/>
  <c r="AX101" i="1"/>
  <c r="AX111" i="1"/>
  <c r="AX95" i="1"/>
  <c r="AX71" i="1"/>
  <c r="AX55" i="1"/>
  <c r="AX39" i="1"/>
  <c r="AX23" i="1"/>
  <c r="AY94" i="1"/>
  <c r="AY90" i="1"/>
  <c r="AY22" i="1"/>
  <c r="AY30" i="1"/>
  <c r="AY46" i="1"/>
  <c r="BA10" i="1"/>
  <c r="AY42" i="1"/>
  <c r="AY58" i="1"/>
  <c r="AY74" i="1"/>
  <c r="AY82" i="1"/>
  <c r="AY86" i="1"/>
  <c r="AY102" i="1"/>
  <c r="AY110" i="1"/>
  <c r="AY18" i="1"/>
  <c r="AX33" i="1"/>
  <c r="AX49" i="1"/>
  <c r="AX65" i="1"/>
  <c r="AX81" i="1"/>
  <c r="AX97" i="1"/>
  <c r="AX107" i="1"/>
  <c r="AX91" i="1"/>
  <c r="AX83" i="1"/>
  <c r="AX67" i="1"/>
  <c r="AX47" i="1"/>
  <c r="AX35" i="1"/>
  <c r="AX19" i="1"/>
  <c r="AX29" i="1"/>
  <c r="AX45" i="1"/>
  <c r="AX61" i="1"/>
  <c r="AX77" i="1"/>
  <c r="AX93" i="1"/>
  <c r="AX109" i="1"/>
  <c r="AX99" i="1"/>
  <c r="AX75" i="1"/>
  <c r="AX63" i="1"/>
  <c r="AX51" i="1"/>
  <c r="AX31" i="1"/>
  <c r="AY70" i="1"/>
  <c r="AX113" i="1"/>
  <c r="BA115" i="2"/>
  <c r="BA107" i="2"/>
  <c r="BA99" i="2"/>
  <c r="BA87" i="2"/>
  <c r="BA79" i="2"/>
  <c r="BA71" i="2"/>
  <c r="BA63" i="2"/>
  <c r="BA51" i="2"/>
  <c r="BA43" i="2"/>
  <c r="BA35" i="2"/>
  <c r="BA27" i="2"/>
  <c r="BA95" i="2"/>
  <c r="BA111" i="2"/>
  <c r="BA103" i="2"/>
  <c r="BA91" i="2"/>
  <c r="BA83" i="2"/>
  <c r="BA75" i="2"/>
  <c r="BA67" i="2"/>
  <c r="BA59" i="2"/>
  <c r="BA47" i="2"/>
  <c r="BA39" i="2"/>
  <c r="BA31" i="2"/>
  <c r="BA23" i="2"/>
  <c r="BA55" i="2"/>
  <c r="BA19" i="2"/>
  <c r="BB11" i="2"/>
  <c r="AY110" i="2"/>
  <c r="AY102" i="2"/>
  <c r="AY94" i="2"/>
  <c r="AY86" i="2"/>
  <c r="AY78" i="2"/>
  <c r="AY70" i="2"/>
  <c r="AY62" i="2"/>
  <c r="AY54" i="2"/>
  <c r="AY46" i="2"/>
  <c r="AY38" i="2"/>
  <c r="AY30" i="2"/>
  <c r="AY22" i="2"/>
  <c r="AY112" i="2"/>
  <c r="AY104" i="2"/>
  <c r="AY96" i="2"/>
  <c r="AY88" i="2"/>
  <c r="AY80" i="2"/>
  <c r="AY72" i="2"/>
  <c r="AY64" i="2"/>
  <c r="AY56" i="2"/>
  <c r="AY48" i="2"/>
  <c r="AY40" i="2"/>
  <c r="AY32" i="2"/>
  <c r="AY24" i="2"/>
  <c r="AY114" i="2"/>
  <c r="AY106" i="2"/>
  <c r="AY98" i="2"/>
  <c r="AY90" i="2"/>
  <c r="AY82" i="2"/>
  <c r="AY74" i="2"/>
  <c r="AY66" i="2"/>
  <c r="AY58" i="2"/>
  <c r="AY50" i="2"/>
  <c r="AY42" i="2"/>
  <c r="AY34" i="2"/>
  <c r="AY26" i="2"/>
  <c r="AY108" i="2"/>
  <c r="AY100" i="2"/>
  <c r="AY92" i="2"/>
  <c r="AY84" i="2"/>
  <c r="AY76" i="2"/>
  <c r="AY68" i="2"/>
  <c r="AY60" i="2"/>
  <c r="AY52" i="2"/>
  <c r="AY44" i="2"/>
  <c r="AY36" i="2"/>
  <c r="AY28" i="2"/>
  <c r="AY20" i="2"/>
  <c r="E30" i="3"/>
  <c r="C31" i="3"/>
  <c r="D31" i="3" s="1"/>
  <c r="F31" i="3"/>
  <c r="I6" i="3" s="1"/>
  <c r="D29" i="3"/>
  <c r="BC10" i="1" l="1"/>
  <c r="BA40" i="1"/>
  <c r="BA20" i="1"/>
  <c r="BA28" i="1"/>
  <c r="BA44" i="1"/>
  <c r="BA60" i="1"/>
  <c r="BA72" i="1"/>
  <c r="BA56" i="1"/>
  <c r="BA96" i="1"/>
  <c r="BA104" i="1"/>
  <c r="BA112" i="1"/>
  <c r="BA84" i="1"/>
  <c r="BA16" i="1"/>
  <c r="AZ103" i="1"/>
  <c r="AZ87" i="1"/>
  <c r="AZ71" i="1"/>
  <c r="AZ55" i="1"/>
  <c r="AZ39" i="1"/>
  <c r="AZ23" i="1"/>
  <c r="AZ109" i="1"/>
  <c r="AZ93" i="1"/>
  <c r="AZ69" i="1"/>
  <c r="AZ53" i="1"/>
  <c r="AZ37" i="1"/>
  <c r="AZ21" i="1"/>
  <c r="AZ99" i="1"/>
  <c r="AZ83" i="1"/>
  <c r="AZ67" i="1"/>
  <c r="AZ51" i="1"/>
  <c r="AZ35" i="1"/>
  <c r="AZ19" i="1"/>
  <c r="AZ101" i="1"/>
  <c r="AZ85" i="1"/>
  <c r="AZ77" i="1"/>
  <c r="AZ41" i="1"/>
  <c r="AZ115" i="1"/>
  <c r="BA36" i="1"/>
  <c r="BA52" i="1"/>
  <c r="BA24" i="1"/>
  <c r="BA32" i="1"/>
  <c r="BA48" i="1"/>
  <c r="BA64" i="1"/>
  <c r="BA76" i="1"/>
  <c r="BA88" i="1"/>
  <c r="BA100" i="1"/>
  <c r="BA108" i="1"/>
  <c r="BA80" i="1"/>
  <c r="BA116" i="1"/>
  <c r="AZ111" i="1"/>
  <c r="AZ95" i="1"/>
  <c r="AZ79" i="1"/>
  <c r="AZ63" i="1"/>
  <c r="AZ47" i="1"/>
  <c r="AZ31" i="1"/>
  <c r="AZ113" i="1"/>
  <c r="AZ97" i="1"/>
  <c r="AZ73" i="1"/>
  <c r="AZ61" i="1"/>
  <c r="AZ49" i="1"/>
  <c r="AZ29" i="1"/>
  <c r="AZ107" i="1"/>
  <c r="AZ91" i="1"/>
  <c r="AZ75" i="1"/>
  <c r="AZ59" i="1"/>
  <c r="AZ43" i="1"/>
  <c r="AZ27" i="1"/>
  <c r="AZ105" i="1"/>
  <c r="AZ89" i="1"/>
  <c r="AZ81" i="1"/>
  <c r="AZ65" i="1"/>
  <c r="AZ45" i="1"/>
  <c r="AZ33" i="1"/>
  <c r="AZ17" i="1"/>
  <c r="BA92" i="1"/>
  <c r="AZ57" i="1"/>
  <c r="AZ25" i="1"/>
  <c r="BA68" i="1"/>
  <c r="E31" i="3"/>
  <c r="I7" i="3"/>
  <c r="N6" i="3" s="1"/>
  <c r="H6" i="3"/>
  <c r="L5" i="3"/>
  <c r="J5" i="3" s="1"/>
  <c r="M6" i="3"/>
  <c r="R6" i="3"/>
  <c r="V6" i="3"/>
  <c r="Y6" i="3"/>
  <c r="AC6" i="3"/>
  <c r="AH6" i="3"/>
  <c r="D6" i="3"/>
  <c r="D8" i="3"/>
  <c r="D12" i="3"/>
  <c r="D7" i="3"/>
  <c r="D9" i="3"/>
  <c r="D5" i="3"/>
  <c r="D11" i="3"/>
  <c r="D10" i="3"/>
  <c r="D13" i="3"/>
  <c r="D15" i="3"/>
  <c r="D14" i="3"/>
  <c r="D17" i="3"/>
  <c r="D18" i="3"/>
  <c r="D16" i="3"/>
  <c r="D20" i="3"/>
  <c r="D22" i="3"/>
  <c r="D24" i="3"/>
  <c r="D19" i="3"/>
  <c r="D26" i="3"/>
  <c r="D23" i="3"/>
  <c r="D21" i="3"/>
  <c r="D25" i="3"/>
  <c r="D27" i="3"/>
  <c r="D28" i="3"/>
  <c r="BC113" i="2"/>
  <c r="BC105" i="2"/>
  <c r="BC97" i="2"/>
  <c r="BC89" i="2"/>
  <c r="BC81" i="2"/>
  <c r="BC73" i="2"/>
  <c r="BC65" i="2"/>
  <c r="BC57" i="2"/>
  <c r="BC45" i="2"/>
  <c r="BC37" i="2"/>
  <c r="BC29" i="2"/>
  <c r="BC21" i="2"/>
  <c r="BC117" i="2"/>
  <c r="BC109" i="2"/>
  <c r="BC101" i="2"/>
  <c r="BC93" i="2"/>
  <c r="BC85" i="2"/>
  <c r="BC77" i="2"/>
  <c r="BC69" i="2"/>
  <c r="BC61" i="2"/>
  <c r="BC49" i="2"/>
  <c r="BC41" i="2"/>
  <c r="BC33" i="2"/>
  <c r="BC25" i="2"/>
  <c r="BC53" i="2"/>
  <c r="BC17" i="2"/>
  <c r="BD11" i="2"/>
  <c r="BA24" i="2"/>
  <c r="BA32" i="2"/>
  <c r="BA40" i="2"/>
  <c r="BA48" i="2"/>
  <c r="BA56" i="2"/>
  <c r="BA64" i="2"/>
  <c r="BA72" i="2"/>
  <c r="BA80" i="2"/>
  <c r="BA88" i="2"/>
  <c r="BA96" i="2"/>
  <c r="BA104" i="2"/>
  <c r="BA112" i="2"/>
  <c r="BA18" i="2"/>
  <c r="BA26" i="2"/>
  <c r="BA34" i="2"/>
  <c r="BA42" i="2"/>
  <c r="BA50" i="2"/>
  <c r="BA58" i="2"/>
  <c r="BA66" i="2"/>
  <c r="BA74" i="2"/>
  <c r="BA82" i="2"/>
  <c r="BA90" i="2"/>
  <c r="BA98" i="2"/>
  <c r="BA106" i="2"/>
  <c r="BA114" i="2"/>
  <c r="BA20" i="2"/>
  <c r="BA28" i="2"/>
  <c r="BA36" i="2"/>
  <c r="BA44" i="2"/>
  <c r="BA52" i="2"/>
  <c r="BA60" i="2"/>
  <c r="BA68" i="2"/>
  <c r="BA76" i="2"/>
  <c r="BA84" i="2"/>
  <c r="BA92" i="2"/>
  <c r="BA100" i="2"/>
  <c r="BA108" i="2"/>
  <c r="BA116" i="2"/>
  <c r="BA22" i="2"/>
  <c r="BA30" i="2"/>
  <c r="BA38" i="2"/>
  <c r="BA46" i="2"/>
  <c r="BA54" i="2"/>
  <c r="BA62" i="2"/>
  <c r="BA70" i="2"/>
  <c r="BA78" i="2"/>
  <c r="BA86" i="2"/>
  <c r="BA94" i="2"/>
  <c r="BA102" i="2"/>
  <c r="BA110" i="2"/>
  <c r="D30" i="3"/>
  <c r="AJ6" i="3" l="1"/>
  <c r="AE6" i="3"/>
  <c r="AA6" i="3"/>
  <c r="X6" i="3"/>
  <c r="T6" i="3"/>
  <c r="P6" i="3"/>
  <c r="L6" i="3"/>
  <c r="AI6" i="3"/>
  <c r="AG6" i="3"/>
  <c r="AF6" i="3"/>
  <c r="AD6" i="3"/>
  <c r="AB6" i="3"/>
  <c r="Z6" i="3"/>
  <c r="W6" i="3"/>
  <c r="U6" i="3"/>
  <c r="S6" i="3"/>
  <c r="Q6" i="3"/>
  <c r="O6" i="3"/>
  <c r="J6" i="3" s="1"/>
  <c r="BB33" i="1"/>
  <c r="BB103" i="1"/>
  <c r="BB55" i="1"/>
  <c r="BB23" i="1"/>
  <c r="BB29" i="1"/>
  <c r="BB77" i="1"/>
  <c r="BB109" i="1"/>
  <c r="BB95" i="1"/>
  <c r="BB59" i="1"/>
  <c r="BD10" i="1"/>
  <c r="BC18" i="1"/>
  <c r="BB18" i="5" s="1"/>
  <c r="BC26" i="1"/>
  <c r="BB26" i="5" s="1"/>
  <c r="BC42" i="1"/>
  <c r="BB42" i="5" s="1"/>
  <c r="BC34" i="1"/>
  <c r="BB34" i="5" s="1"/>
  <c r="BC50" i="1"/>
  <c r="BB50" i="5" s="1"/>
  <c r="BC66" i="1"/>
  <c r="BB66" i="5" s="1"/>
  <c r="BC82" i="1"/>
  <c r="BB82" i="5" s="1"/>
  <c r="BC114" i="1"/>
  <c r="BB114" i="5" s="1"/>
  <c r="BC62" i="1"/>
  <c r="BB62" i="5" s="1"/>
  <c r="BC74" i="1"/>
  <c r="BB74" i="5" s="1"/>
  <c r="BC90" i="1"/>
  <c r="BB90" i="5" s="1"/>
  <c r="BC98" i="1"/>
  <c r="BB98" i="5" s="1"/>
  <c r="BC106" i="1"/>
  <c r="BB106" i="5" s="1"/>
  <c r="BC14" i="1"/>
  <c r="BB25" i="1"/>
  <c r="BB41" i="1"/>
  <c r="BB57" i="1"/>
  <c r="BB73" i="1"/>
  <c r="BB89" i="1"/>
  <c r="BB105" i="1"/>
  <c r="BB115" i="1"/>
  <c r="BB99" i="1"/>
  <c r="BB83" i="1"/>
  <c r="BB63" i="1"/>
  <c r="BB43" i="1"/>
  <c r="BB31" i="1"/>
  <c r="BB15" i="1"/>
  <c r="BB21" i="1"/>
  <c r="BB37" i="1"/>
  <c r="BB53" i="1"/>
  <c r="BB69" i="1"/>
  <c r="BB85" i="1"/>
  <c r="BB101" i="1"/>
  <c r="BB117" i="1"/>
  <c r="BB107" i="1"/>
  <c r="BB91" i="1"/>
  <c r="BB67" i="1"/>
  <c r="BB51" i="1"/>
  <c r="BB35" i="1"/>
  <c r="BB19" i="1"/>
  <c r="BC22" i="1"/>
  <c r="BB22" i="5" s="1"/>
  <c r="BC30" i="1"/>
  <c r="BB30" i="5" s="1"/>
  <c r="AZ32" i="5" s="1"/>
  <c r="BC46" i="1"/>
  <c r="BB46" i="5" s="1"/>
  <c r="AZ48" i="5" s="1"/>
  <c r="BC38" i="1"/>
  <c r="BB38" i="5" s="1"/>
  <c r="AZ40" i="5" s="1"/>
  <c r="BC54" i="1"/>
  <c r="BB54" i="5" s="1"/>
  <c r="BC58" i="1"/>
  <c r="BB58" i="5" s="1"/>
  <c r="AZ60" i="5" s="1"/>
  <c r="BC86" i="1"/>
  <c r="BB86" i="5" s="1"/>
  <c r="AZ88" i="5" s="1"/>
  <c r="BC118" i="1"/>
  <c r="BB118" i="5" s="1"/>
  <c r="BC70" i="1"/>
  <c r="BB70" i="5" s="1"/>
  <c r="BC78" i="1"/>
  <c r="BB78" i="5" s="1"/>
  <c r="AZ80" i="5" s="1"/>
  <c r="BC94" i="1"/>
  <c r="BB94" i="5" s="1"/>
  <c r="BC102" i="1"/>
  <c r="BB102" i="5" s="1"/>
  <c r="AZ104" i="5" s="1"/>
  <c r="BC110" i="1"/>
  <c r="BB110" i="5" s="1"/>
  <c r="BB17" i="1"/>
  <c r="BB49" i="1"/>
  <c r="BB65" i="1"/>
  <c r="BB81" i="1"/>
  <c r="BB97" i="1"/>
  <c r="BB113" i="1"/>
  <c r="BB87" i="1"/>
  <c r="BB75" i="1"/>
  <c r="BB39" i="1"/>
  <c r="BB79" i="1"/>
  <c r="BB45" i="1"/>
  <c r="BB61" i="1"/>
  <c r="BB93" i="1"/>
  <c r="BB111" i="1"/>
  <c r="BB71" i="1"/>
  <c r="BB47" i="1"/>
  <c r="BB27" i="1"/>
  <c r="BD35" i="2"/>
  <c r="BD51" i="2"/>
  <c r="BD19" i="2"/>
  <c r="BD23" i="2"/>
  <c r="BD31" i="2"/>
  <c r="BB33" i="2" s="1"/>
  <c r="BD43" i="2"/>
  <c r="BD47" i="2"/>
  <c r="BD63" i="2"/>
  <c r="BD71" i="2"/>
  <c r="BD75" i="2"/>
  <c r="BD67" i="2"/>
  <c r="BB69" i="2" s="1"/>
  <c r="BD79" i="2"/>
  <c r="BD91" i="2"/>
  <c r="BD95" i="2"/>
  <c r="BD103" i="2"/>
  <c r="BD107" i="2"/>
  <c r="BD111" i="2"/>
  <c r="BD55" i="2"/>
  <c r="BD83" i="2"/>
  <c r="BD87" i="2"/>
  <c r="BB89" i="2" s="1"/>
  <c r="BD115" i="2"/>
  <c r="BD15" i="2"/>
  <c r="BB17" i="2" s="1"/>
  <c r="BC118" i="2"/>
  <c r="BC110" i="2"/>
  <c r="BC102" i="2"/>
  <c r="BC94" i="2"/>
  <c r="BC86" i="2"/>
  <c r="BC78" i="2"/>
  <c r="BC70" i="2"/>
  <c r="BC62" i="2"/>
  <c r="BC54" i="2"/>
  <c r="BC46" i="2"/>
  <c r="BC38" i="2"/>
  <c r="BC30" i="2"/>
  <c r="BC22" i="2"/>
  <c r="BC112" i="2"/>
  <c r="BC104" i="2"/>
  <c r="BC96" i="2"/>
  <c r="BC88" i="2"/>
  <c r="BC80" i="2"/>
  <c r="BC72" i="2"/>
  <c r="BC64" i="2"/>
  <c r="BC56" i="2"/>
  <c r="BC48" i="2"/>
  <c r="BC40" i="2"/>
  <c r="BC32" i="2"/>
  <c r="BC24" i="2"/>
  <c r="BC114" i="2"/>
  <c r="BC106" i="2"/>
  <c r="BC98" i="2"/>
  <c r="BC90" i="2"/>
  <c r="BC82" i="2"/>
  <c r="BC74" i="2"/>
  <c r="BC66" i="2"/>
  <c r="BC58" i="2"/>
  <c r="BC50" i="2"/>
  <c r="BC42" i="2"/>
  <c r="BC34" i="2"/>
  <c r="BC26" i="2"/>
  <c r="BC18" i="2"/>
  <c r="BC20" i="2"/>
  <c r="BC116" i="2"/>
  <c r="BC108" i="2"/>
  <c r="BC100" i="2"/>
  <c r="BC92" i="2"/>
  <c r="BC84" i="2"/>
  <c r="BC76" i="2"/>
  <c r="BC68" i="2"/>
  <c r="BC60" i="2"/>
  <c r="BC52" i="2"/>
  <c r="BC44" i="2"/>
  <c r="BC36" i="2"/>
  <c r="BC28" i="2"/>
  <c r="BC16" i="2"/>
  <c r="I8" i="3"/>
  <c r="L7" i="3" s="1"/>
  <c r="H7" i="3"/>
  <c r="BB49" i="2" l="1"/>
  <c r="BD119" i="2"/>
  <c r="BD99" i="2"/>
  <c r="BD59" i="2"/>
  <c r="BB61" i="2" s="1"/>
  <c r="BD27" i="2"/>
  <c r="BD39" i="2"/>
  <c r="BB37" i="2" s="1"/>
  <c r="AZ112" i="5"/>
  <c r="AZ96" i="5"/>
  <c r="AZ72" i="5"/>
  <c r="AZ56" i="5"/>
  <c r="AX58" i="5" s="1"/>
  <c r="AZ24" i="5"/>
  <c r="AZ64" i="5"/>
  <c r="AX62" i="5" s="1"/>
  <c r="BB117" i="2"/>
  <c r="BB85" i="2"/>
  <c r="AZ87" i="2" s="1"/>
  <c r="BB105" i="2"/>
  <c r="BB97" i="2"/>
  <c r="BB65" i="2"/>
  <c r="AZ67" i="2" s="1"/>
  <c r="BB25" i="2"/>
  <c r="AB7" i="3"/>
  <c r="AG7" i="3"/>
  <c r="AZ100" i="5"/>
  <c r="AX102" i="5" s="1"/>
  <c r="AZ76" i="5"/>
  <c r="AX78" i="5" s="1"/>
  <c r="AZ116" i="5"/>
  <c r="AZ68" i="5"/>
  <c r="AZ36" i="5"/>
  <c r="AX38" i="5" s="1"/>
  <c r="AZ28" i="5"/>
  <c r="AX30" i="5" s="1"/>
  <c r="AX114" i="5"/>
  <c r="AX74" i="5"/>
  <c r="AV76" i="5" s="1"/>
  <c r="AZ108" i="5"/>
  <c r="AX110" i="5" s="1"/>
  <c r="AZ92" i="5"/>
  <c r="AZ84" i="5"/>
  <c r="AX86" i="5" s="1"/>
  <c r="AZ52" i="5"/>
  <c r="AZ44" i="5"/>
  <c r="AX46" i="5" s="1"/>
  <c r="AZ20" i="5"/>
  <c r="AX22" i="5" s="1"/>
  <c r="AZ16" i="5"/>
  <c r="BD119" i="1"/>
  <c r="BE10" i="1"/>
  <c r="M7" i="3"/>
  <c r="T7" i="3"/>
  <c r="AI7" i="3"/>
  <c r="AF7" i="3"/>
  <c r="W7" i="3"/>
  <c r="P7" i="3"/>
  <c r="AH7" i="3"/>
  <c r="AE7" i="3"/>
  <c r="AC7" i="3"/>
  <c r="Z7" i="3"/>
  <c r="V7" i="3"/>
  <c r="R7" i="3"/>
  <c r="N7" i="3"/>
  <c r="AD7" i="3"/>
  <c r="AA7" i="3"/>
  <c r="Y7" i="3"/>
  <c r="X7" i="3"/>
  <c r="U7" i="3"/>
  <c r="S7" i="3"/>
  <c r="Q7" i="3"/>
  <c r="O7" i="3"/>
  <c r="I9" i="3"/>
  <c r="N8" i="3" s="1"/>
  <c r="H8" i="3"/>
  <c r="L8" i="3"/>
  <c r="X8" i="3"/>
  <c r="AB8" i="3"/>
  <c r="AF8" i="3"/>
  <c r="AJ8" i="3"/>
  <c r="AJ7" i="3"/>
  <c r="BB109" i="2"/>
  <c r="AZ107" i="2" s="1"/>
  <c r="BB101" i="2"/>
  <c r="AZ103" i="2" s="1"/>
  <c r="BB93" i="2"/>
  <c r="BB73" i="2"/>
  <c r="BB45" i="2"/>
  <c r="AZ47" i="2" s="1"/>
  <c r="BB29" i="2"/>
  <c r="AZ31" i="2" s="1"/>
  <c r="BB21" i="2"/>
  <c r="AZ23" i="2" s="1"/>
  <c r="BB113" i="2"/>
  <c r="AZ115" i="2" s="1"/>
  <c r="BB81" i="2"/>
  <c r="AZ83" i="2" s="1"/>
  <c r="AX85" i="2" s="1"/>
  <c r="BB77" i="2"/>
  <c r="AZ27" i="2"/>
  <c r="AX29" i="2" s="1"/>
  <c r="BB53" i="2"/>
  <c r="AZ99" i="2" l="1"/>
  <c r="AX101" i="2" s="1"/>
  <c r="AX98" i="5"/>
  <c r="AV100" i="5" s="1"/>
  <c r="AZ63" i="2"/>
  <c r="AX65" i="2" s="1"/>
  <c r="AZ19" i="2"/>
  <c r="AX21" i="2" s="1"/>
  <c r="AH8" i="3"/>
  <c r="AD8" i="3"/>
  <c r="Y8" i="3"/>
  <c r="V8" i="3"/>
  <c r="AX26" i="5"/>
  <c r="AV28" i="5" s="1"/>
  <c r="AZ35" i="2"/>
  <c r="AV60" i="5"/>
  <c r="BB57" i="2"/>
  <c r="AZ55" i="2"/>
  <c r="BB41" i="2"/>
  <c r="AZ39" i="2" s="1"/>
  <c r="AX37" i="2" s="1"/>
  <c r="AZ95" i="2"/>
  <c r="AI8" i="3"/>
  <c r="AG8" i="3"/>
  <c r="AE8" i="3"/>
  <c r="AC8" i="3"/>
  <c r="AA8" i="3"/>
  <c r="Z8" i="3"/>
  <c r="W8" i="3"/>
  <c r="T8" i="3"/>
  <c r="AX54" i="5"/>
  <c r="AV56" i="5" s="1"/>
  <c r="AX94" i="5"/>
  <c r="AV96" i="5" s="1"/>
  <c r="AX18" i="5"/>
  <c r="AV20" i="5" s="1"/>
  <c r="AX33" i="2"/>
  <c r="AV31" i="2" s="1"/>
  <c r="AX90" i="5"/>
  <c r="AX70" i="5"/>
  <c r="AV72" i="5" s="1"/>
  <c r="AT74" i="5" s="1"/>
  <c r="AX66" i="5"/>
  <c r="AX34" i="5"/>
  <c r="AV36" i="5" s="1"/>
  <c r="AX82" i="5"/>
  <c r="AV84" i="5" s="1"/>
  <c r="AV88" i="5"/>
  <c r="AX50" i="5"/>
  <c r="AV52" i="5" s="1"/>
  <c r="AT54" i="5" s="1"/>
  <c r="AV112" i="5"/>
  <c r="AX42" i="5"/>
  <c r="AV44" i="5" s="1"/>
  <c r="AX106" i="5"/>
  <c r="AV108" i="5" s="1"/>
  <c r="AT110" i="5" s="1"/>
  <c r="J7" i="3"/>
  <c r="BE120" i="1"/>
  <c r="BF10" i="1"/>
  <c r="U8" i="3"/>
  <c r="R8" i="3"/>
  <c r="P8" i="3"/>
  <c r="AZ79" i="2"/>
  <c r="AX81" i="2" s="1"/>
  <c r="AV83" i="2" s="1"/>
  <c r="AZ43" i="2"/>
  <c r="AX45" i="2" s="1"/>
  <c r="S8" i="3"/>
  <c r="Q8" i="3"/>
  <c r="O8" i="3"/>
  <c r="AZ51" i="2"/>
  <c r="AX53" i="2" s="1"/>
  <c r="AX25" i="2"/>
  <c r="AV27" i="2" s="1"/>
  <c r="AX49" i="2"/>
  <c r="AV51" i="2" s="1"/>
  <c r="AZ75" i="2"/>
  <c r="AX77" i="2" s="1"/>
  <c r="AV79" i="2" s="1"/>
  <c r="AT81" i="2" s="1"/>
  <c r="AX97" i="2"/>
  <c r="AV99" i="2" s="1"/>
  <c r="AZ111" i="2"/>
  <c r="AX113" i="2" s="1"/>
  <c r="AZ91" i="2"/>
  <c r="I10" i="3"/>
  <c r="N9" i="3" s="1"/>
  <c r="H9" i="3"/>
  <c r="M9" i="3"/>
  <c r="AV47" i="2"/>
  <c r="AT49" i="2" s="1"/>
  <c r="AZ71" i="2"/>
  <c r="AX105" i="2"/>
  <c r="AZ59" i="2"/>
  <c r="AX61" i="2" s="1"/>
  <c r="AV63" i="2" s="1"/>
  <c r="M8" i="3"/>
  <c r="AT98" i="5"/>
  <c r="AX109" i="2" l="1"/>
  <c r="AV111" i="2" s="1"/>
  <c r="AV35" i="2"/>
  <c r="AV24" i="5"/>
  <c r="AT26" i="5" s="1"/>
  <c r="AV92" i="5"/>
  <c r="AT94" i="5" s="1"/>
  <c r="AR96" i="5" s="1"/>
  <c r="AT58" i="5"/>
  <c r="AR56" i="5" s="1"/>
  <c r="AI9" i="3"/>
  <c r="AC9" i="3"/>
  <c r="AG9" i="3"/>
  <c r="Y9" i="3"/>
  <c r="AJ9" i="3"/>
  <c r="AH9" i="3"/>
  <c r="AE9" i="3"/>
  <c r="AA9" i="3"/>
  <c r="T9" i="3"/>
  <c r="AF9" i="3"/>
  <c r="AD9" i="3"/>
  <c r="AB9" i="3"/>
  <c r="Z9" i="3"/>
  <c r="X9" i="3"/>
  <c r="P9" i="3"/>
  <c r="AT29" i="2"/>
  <c r="V9" i="3"/>
  <c r="R9" i="3"/>
  <c r="AV40" i="5"/>
  <c r="AT42" i="5" s="1"/>
  <c r="AV48" i="5"/>
  <c r="AT50" i="5" s="1"/>
  <c r="AR52" i="5" s="1"/>
  <c r="AT38" i="5"/>
  <c r="AR40" i="5" s="1"/>
  <c r="AV68" i="5"/>
  <c r="AT70" i="5" s="1"/>
  <c r="AR72" i="5" s="1"/>
  <c r="AV64" i="5"/>
  <c r="AV32" i="5"/>
  <c r="AV104" i="5"/>
  <c r="AT86" i="5"/>
  <c r="AV80" i="5"/>
  <c r="J8" i="3"/>
  <c r="BG10" i="1"/>
  <c r="BF121" i="1"/>
  <c r="AV107" i="2"/>
  <c r="AT109" i="2" s="1"/>
  <c r="AX41" i="2"/>
  <c r="AV43" i="2" s="1"/>
  <c r="AT45" i="2" s="1"/>
  <c r="AR47" i="2" s="1"/>
  <c r="AX57" i="2"/>
  <c r="I11" i="3"/>
  <c r="L10" i="3" s="1"/>
  <c r="H10" i="3"/>
  <c r="M10" i="3"/>
  <c r="AI10" i="3"/>
  <c r="AV23" i="2"/>
  <c r="AT25" i="2" s="1"/>
  <c r="AR27" i="2" s="1"/>
  <c r="AT33" i="2"/>
  <c r="AX73" i="2"/>
  <c r="AV75" i="2" s="1"/>
  <c r="AT77" i="2" s="1"/>
  <c r="AR79" i="2" s="1"/>
  <c r="AX69" i="2"/>
  <c r="W9" i="3"/>
  <c r="U9" i="3"/>
  <c r="S9" i="3"/>
  <c r="Q9" i="3"/>
  <c r="O9" i="3"/>
  <c r="L9" i="3"/>
  <c r="AX93" i="2"/>
  <c r="AV95" i="2" s="1"/>
  <c r="AT97" i="2" s="1"/>
  <c r="AX89" i="2"/>
  <c r="AV103" i="2"/>
  <c r="AF10" i="3" l="1"/>
  <c r="AT22" i="5"/>
  <c r="AR24" i="5" s="1"/>
  <c r="AT90" i="5"/>
  <c r="AR92" i="5" s="1"/>
  <c r="AP94" i="5" s="1"/>
  <c r="AT105" i="2"/>
  <c r="AG10" i="3"/>
  <c r="AB10" i="3"/>
  <c r="AR88" i="5"/>
  <c r="AP90" i="5" s="1"/>
  <c r="AP54" i="5"/>
  <c r="AJ10" i="3"/>
  <c r="AH10" i="3"/>
  <c r="AE10" i="3"/>
  <c r="AD10" i="3"/>
  <c r="W10" i="3"/>
  <c r="AT78" i="5"/>
  <c r="AT82" i="5"/>
  <c r="AR84" i="5" s="1"/>
  <c r="AP86" i="5" s="1"/>
  <c r="AN88" i="5" s="1"/>
  <c r="AT106" i="5"/>
  <c r="AR108" i="5" s="1"/>
  <c r="AT102" i="5"/>
  <c r="AT62" i="5"/>
  <c r="AT66" i="5"/>
  <c r="AR68" i="5" s="1"/>
  <c r="AP70" i="5" s="1"/>
  <c r="AT34" i="5"/>
  <c r="AR36" i="5" s="1"/>
  <c r="AT30" i="5"/>
  <c r="AT46" i="5"/>
  <c r="BG122" i="1"/>
  <c r="BH10" i="1"/>
  <c r="T10" i="3"/>
  <c r="AR107" i="2"/>
  <c r="AC10" i="3"/>
  <c r="AA10" i="3"/>
  <c r="Z10" i="3"/>
  <c r="V10" i="3"/>
  <c r="P10" i="3"/>
  <c r="Y10" i="3"/>
  <c r="X10" i="3"/>
  <c r="U10" i="3"/>
  <c r="R10" i="3"/>
  <c r="N10" i="3"/>
  <c r="AV39" i="2"/>
  <c r="S10" i="3"/>
  <c r="Q10" i="3"/>
  <c r="O10" i="3"/>
  <c r="AT101" i="2"/>
  <c r="AR103" i="2" s="1"/>
  <c r="AP105" i="2" s="1"/>
  <c r="AV71" i="2"/>
  <c r="AT73" i="2" s="1"/>
  <c r="AR75" i="2" s="1"/>
  <c r="AP77" i="2" s="1"/>
  <c r="AV67" i="2"/>
  <c r="AR31" i="2"/>
  <c r="AP38" i="5"/>
  <c r="I12" i="3"/>
  <c r="M11" i="3" s="1"/>
  <c r="H11" i="3"/>
  <c r="Y11" i="3"/>
  <c r="AH11" i="3"/>
  <c r="AV59" i="2"/>
  <c r="AT61" i="2" s="1"/>
  <c r="AV55" i="2"/>
  <c r="AV91" i="2"/>
  <c r="AT93" i="2" s="1"/>
  <c r="AR95" i="2" s="1"/>
  <c r="AV87" i="2"/>
  <c r="J9" i="3"/>
  <c r="AP29" i="2"/>
  <c r="J10" i="3"/>
  <c r="L11" i="3" l="1"/>
  <c r="AJ11" i="3"/>
  <c r="AD11" i="3"/>
  <c r="V11" i="3"/>
  <c r="AR48" i="5"/>
  <c r="AP50" i="5" s="1"/>
  <c r="AN52" i="5" s="1"/>
  <c r="AR44" i="5"/>
  <c r="AR32" i="5"/>
  <c r="AP34" i="5" s="1"/>
  <c r="AR28" i="5"/>
  <c r="AR104" i="5"/>
  <c r="AP106" i="5" s="1"/>
  <c r="AR100" i="5"/>
  <c r="AR60" i="5"/>
  <c r="AR64" i="5"/>
  <c r="AP66" i="5" s="1"/>
  <c r="AN68" i="5" s="1"/>
  <c r="AR76" i="5"/>
  <c r="AR80" i="5"/>
  <c r="AP82" i="5" s="1"/>
  <c r="AN84" i="5" s="1"/>
  <c r="AL86" i="5" s="1"/>
  <c r="BI10" i="1"/>
  <c r="BH123" i="1"/>
  <c r="R11" i="3"/>
  <c r="AF11" i="3"/>
  <c r="AB11" i="3"/>
  <c r="X11" i="3"/>
  <c r="T11" i="3"/>
  <c r="P11" i="3"/>
  <c r="AR99" i="2"/>
  <c r="AP101" i="2" s="1"/>
  <c r="AN103" i="2" s="1"/>
  <c r="AT41" i="2"/>
  <c r="AR43" i="2" s="1"/>
  <c r="AP45" i="2" s="1"/>
  <c r="AT37" i="2"/>
  <c r="N11" i="3"/>
  <c r="AT89" i="2"/>
  <c r="AR91" i="2" s="1"/>
  <c r="AP93" i="2" s="1"/>
  <c r="AT85" i="2"/>
  <c r="AN92" i="5"/>
  <c r="AI11" i="3"/>
  <c r="AG11" i="3"/>
  <c r="AE11" i="3"/>
  <c r="AC11" i="3"/>
  <c r="AA11" i="3"/>
  <c r="Z11" i="3"/>
  <c r="W11" i="3"/>
  <c r="U11" i="3"/>
  <c r="S11" i="3"/>
  <c r="Q11" i="3"/>
  <c r="O11" i="3"/>
  <c r="AN36" i="5"/>
  <c r="AT69" i="2"/>
  <c r="AR71" i="2" s="1"/>
  <c r="AP73" i="2" s="1"/>
  <c r="AN75" i="2" s="1"/>
  <c r="AT65" i="2"/>
  <c r="AT57" i="2"/>
  <c r="AR59" i="2" s="1"/>
  <c r="AT53" i="2"/>
  <c r="I13" i="3"/>
  <c r="N12" i="3" s="1"/>
  <c r="H12" i="3"/>
  <c r="AJ12" i="3" l="1"/>
  <c r="AF12" i="3"/>
  <c r="AB12" i="3"/>
  <c r="X12" i="3"/>
  <c r="T12" i="3"/>
  <c r="P12" i="3"/>
  <c r="AR67" i="2"/>
  <c r="AP69" i="2" s="1"/>
  <c r="AN71" i="2" s="1"/>
  <c r="AL73" i="2" s="1"/>
  <c r="AP74" i="5"/>
  <c r="AP78" i="5"/>
  <c r="AN80" i="5" s="1"/>
  <c r="AL82" i="5" s="1"/>
  <c r="AJ84" i="5" s="1"/>
  <c r="AP62" i="5"/>
  <c r="AN64" i="5" s="1"/>
  <c r="AL66" i="5" s="1"/>
  <c r="AP58" i="5"/>
  <c r="AP30" i="5"/>
  <c r="AN32" i="5" s="1"/>
  <c r="AP26" i="5"/>
  <c r="AP46" i="5"/>
  <c r="AN48" i="5" s="1"/>
  <c r="AL50" i="5" s="1"/>
  <c r="AP42" i="5"/>
  <c r="AH12" i="3"/>
  <c r="AD12" i="3"/>
  <c r="Z12" i="3"/>
  <c r="V12" i="3"/>
  <c r="R12" i="3"/>
  <c r="AP102" i="5"/>
  <c r="AN104" i="5" s="1"/>
  <c r="AP98" i="5"/>
  <c r="BJ10" i="1"/>
  <c r="BI124" i="1"/>
  <c r="AR39" i="2"/>
  <c r="AP41" i="2" s="1"/>
  <c r="AN43" i="2" s="1"/>
  <c r="AR35" i="2"/>
  <c r="AP97" i="2"/>
  <c r="AN99" i="2" s="1"/>
  <c r="AL101" i="2" s="1"/>
  <c r="J11" i="3"/>
  <c r="I14" i="3"/>
  <c r="M13" i="3" s="1"/>
  <c r="H13" i="3"/>
  <c r="L13" i="3"/>
  <c r="AR55" i="2"/>
  <c r="AP57" i="2" s="1"/>
  <c r="AR51" i="2"/>
  <c r="AI12" i="3"/>
  <c r="AG12" i="3"/>
  <c r="AE12" i="3"/>
  <c r="AC12" i="3"/>
  <c r="AA12" i="3"/>
  <c r="Y12" i="3"/>
  <c r="W12" i="3"/>
  <c r="U12" i="3"/>
  <c r="S12" i="3"/>
  <c r="Q12" i="3"/>
  <c r="O12" i="3"/>
  <c r="L12" i="3"/>
  <c r="AL34" i="5"/>
  <c r="AL90" i="5"/>
  <c r="AR87" i="2"/>
  <c r="AP89" i="2" s="1"/>
  <c r="AN91" i="2" s="1"/>
  <c r="AR83" i="2"/>
  <c r="M12" i="3"/>
  <c r="AR63" i="2"/>
  <c r="AP65" i="2" s="1"/>
  <c r="AN67" i="2" s="1"/>
  <c r="AL69" i="2" s="1"/>
  <c r="AJ71" i="2" s="1"/>
  <c r="AN28" i="5" l="1"/>
  <c r="AL30" i="5" s="1"/>
  <c r="AJ13" i="3"/>
  <c r="AF13" i="3"/>
  <c r="AH13" i="3"/>
  <c r="AB13" i="3"/>
  <c r="AN72" i="5"/>
  <c r="AN76" i="5"/>
  <c r="AL78" i="5" s="1"/>
  <c r="AJ80" i="5" s="1"/>
  <c r="AH82" i="5" s="1"/>
  <c r="AI13" i="3"/>
  <c r="AG13" i="3"/>
  <c r="AD13" i="3"/>
  <c r="U13" i="3"/>
  <c r="AN100" i="5"/>
  <c r="AL102" i="5" s="1"/>
  <c r="AN96" i="5"/>
  <c r="AN44" i="5"/>
  <c r="AL46" i="5" s="1"/>
  <c r="AJ48" i="5" s="1"/>
  <c r="AN40" i="5"/>
  <c r="AN56" i="5"/>
  <c r="AN60" i="5"/>
  <c r="AL62" i="5" s="1"/>
  <c r="AJ64" i="5" s="1"/>
  <c r="BJ125" i="1"/>
  <c r="BK10" i="1"/>
  <c r="Y13" i="3"/>
  <c r="Q13" i="3"/>
  <c r="AE13" i="3"/>
  <c r="AC13" i="3"/>
  <c r="AA13" i="3"/>
  <c r="Z13" i="3"/>
  <c r="X13" i="3"/>
  <c r="S13" i="3"/>
  <c r="O13" i="3"/>
  <c r="W13" i="3"/>
  <c r="V13" i="3"/>
  <c r="T13" i="3"/>
  <c r="R13" i="3"/>
  <c r="P13" i="3"/>
  <c r="N13" i="3"/>
  <c r="AP37" i="2"/>
  <c r="AN39" i="2" s="1"/>
  <c r="AL41" i="2" s="1"/>
  <c r="AP33" i="2"/>
  <c r="AN95" i="2"/>
  <c r="AL97" i="2" s="1"/>
  <c r="AJ99" i="2" s="1"/>
  <c r="AP85" i="2"/>
  <c r="AN87" i="2" s="1"/>
  <c r="AL89" i="2" s="1"/>
  <c r="AP81" i="2"/>
  <c r="AJ88" i="5"/>
  <c r="AJ32" i="5"/>
  <c r="J12" i="3"/>
  <c r="AP53" i="2"/>
  <c r="AN55" i="2" s="1"/>
  <c r="AP49" i="2"/>
  <c r="I15" i="3"/>
  <c r="L14" i="3" s="1"/>
  <c r="H14" i="3"/>
  <c r="AP61" i="2"/>
  <c r="AN63" i="2" s="1"/>
  <c r="AL65" i="2" s="1"/>
  <c r="AJ67" i="2" s="1"/>
  <c r="AH69" i="2" s="1"/>
  <c r="J13" i="3" l="1"/>
  <c r="AL58" i="5"/>
  <c r="AJ60" i="5" s="1"/>
  <c r="AH62" i="5" s="1"/>
  <c r="AL54" i="5"/>
  <c r="AL70" i="5"/>
  <c r="AL74" i="5"/>
  <c r="AJ76" i="5" s="1"/>
  <c r="AH78" i="5" s="1"/>
  <c r="AF80" i="5" s="1"/>
  <c r="AL42" i="5"/>
  <c r="AJ44" i="5" s="1"/>
  <c r="AH46" i="5" s="1"/>
  <c r="AL38" i="5"/>
  <c r="AL98" i="5"/>
  <c r="AJ100" i="5" s="1"/>
  <c r="AL94" i="5"/>
  <c r="BK126" i="1"/>
  <c r="BL10" i="1"/>
  <c r="X14" i="3"/>
  <c r="AE14" i="3"/>
  <c r="AN35" i="2"/>
  <c r="AL37" i="2" s="1"/>
  <c r="AJ39" i="2" s="1"/>
  <c r="AN31" i="2"/>
  <c r="AL93" i="2"/>
  <c r="AJ95" i="2" s="1"/>
  <c r="AH97" i="2" s="1"/>
  <c r="AN59" i="2"/>
  <c r="AL61" i="2" s="1"/>
  <c r="AJ63" i="2" s="1"/>
  <c r="AH65" i="2" s="1"/>
  <c r="AF67" i="2" s="1"/>
  <c r="AJ14" i="3"/>
  <c r="AA14" i="3"/>
  <c r="T14" i="3"/>
  <c r="P14" i="3"/>
  <c r="AG14" i="3"/>
  <c r="AC14" i="3"/>
  <c r="Z14" i="3"/>
  <c r="V14" i="3"/>
  <c r="R14" i="3"/>
  <c r="N14" i="3"/>
  <c r="M14" i="3"/>
  <c r="AI14" i="3"/>
  <c r="AH14" i="3"/>
  <c r="AF14" i="3"/>
  <c r="AD14" i="3"/>
  <c r="AB14" i="3"/>
  <c r="Y14" i="3"/>
  <c r="W14" i="3"/>
  <c r="U14" i="3"/>
  <c r="S14" i="3"/>
  <c r="Q14" i="3"/>
  <c r="O14" i="3"/>
  <c r="AH86" i="5"/>
  <c r="AN83" i="2"/>
  <c r="AL85" i="2" s="1"/>
  <c r="AJ87" i="2" s="1"/>
  <c r="AN79" i="2"/>
  <c r="I16" i="3"/>
  <c r="M15" i="3" s="1"/>
  <c r="H15" i="3"/>
  <c r="AN51" i="2"/>
  <c r="AL53" i="2" s="1"/>
  <c r="AN47" i="2"/>
  <c r="AL57" i="2" l="1"/>
  <c r="AJ59" i="2" s="1"/>
  <c r="AH61" i="2" s="1"/>
  <c r="AF63" i="2" s="1"/>
  <c r="AD65" i="2" s="1"/>
  <c r="L15" i="3"/>
  <c r="AL33" i="2"/>
  <c r="AJ35" i="2" s="1"/>
  <c r="AH37" i="2" s="1"/>
  <c r="AJ96" i="5"/>
  <c r="AH98" i="5" s="1"/>
  <c r="AJ92" i="5"/>
  <c r="AJ40" i="5"/>
  <c r="AH42" i="5" s="1"/>
  <c r="AF44" i="5" s="1"/>
  <c r="AJ36" i="5"/>
  <c r="AJ68" i="5"/>
  <c r="AJ72" i="5"/>
  <c r="AH74" i="5" s="1"/>
  <c r="AF76" i="5" s="1"/>
  <c r="AD78" i="5" s="1"/>
  <c r="AB15" i="3"/>
  <c r="AJ52" i="5"/>
  <c r="AJ56" i="5"/>
  <c r="AH58" i="5" s="1"/>
  <c r="AF60" i="5" s="1"/>
  <c r="BM10" i="1"/>
  <c r="BL127" i="1"/>
  <c r="AJ15" i="3"/>
  <c r="T15" i="3"/>
  <c r="AF15" i="3"/>
  <c r="X15" i="3"/>
  <c r="P15" i="3"/>
  <c r="AJ91" i="2"/>
  <c r="AH93" i="2" s="1"/>
  <c r="AF95" i="2" s="1"/>
  <c r="AH15" i="3"/>
  <c r="AD15" i="3"/>
  <c r="Z15" i="3"/>
  <c r="V15" i="3"/>
  <c r="R15" i="3"/>
  <c r="N15" i="3"/>
  <c r="J14" i="3"/>
  <c r="AI15" i="3"/>
  <c r="AG15" i="3"/>
  <c r="AE15" i="3"/>
  <c r="AC15" i="3"/>
  <c r="AA15" i="3"/>
  <c r="Y15" i="3"/>
  <c r="W15" i="3"/>
  <c r="U15" i="3"/>
  <c r="S15" i="3"/>
  <c r="Q15" i="3"/>
  <c r="O15" i="3"/>
  <c r="AL49" i="2"/>
  <c r="AJ51" i="2" s="1"/>
  <c r="AL45" i="2"/>
  <c r="I17" i="3"/>
  <c r="M16" i="3" s="1"/>
  <c r="H16" i="3"/>
  <c r="AB16" i="3"/>
  <c r="AL81" i="2"/>
  <c r="AJ83" i="2" s="1"/>
  <c r="AH85" i="2" s="1"/>
  <c r="AL77" i="2"/>
  <c r="AF84" i="5"/>
  <c r="AJ55" i="2" l="1"/>
  <c r="AH57" i="2" s="1"/>
  <c r="AF59" i="2" s="1"/>
  <c r="AD61" i="2" s="1"/>
  <c r="AB63" i="2" s="1"/>
  <c r="AJ16" i="3"/>
  <c r="L16" i="3"/>
  <c r="T16" i="3"/>
  <c r="AF16" i="3"/>
  <c r="X16" i="3"/>
  <c r="P16" i="3"/>
  <c r="AH16" i="3"/>
  <c r="AD16" i="3"/>
  <c r="Y16" i="3"/>
  <c r="V16" i="3"/>
  <c r="R16" i="3"/>
  <c r="N16" i="3"/>
  <c r="J15" i="3"/>
  <c r="AI16" i="3"/>
  <c r="AG16" i="3"/>
  <c r="AE16" i="3"/>
  <c r="AC16" i="3"/>
  <c r="AA16" i="3"/>
  <c r="Z16" i="3"/>
  <c r="W16" i="3"/>
  <c r="U16" i="3"/>
  <c r="S16" i="3"/>
  <c r="Q16" i="3"/>
  <c r="O16" i="3"/>
  <c r="AH50" i="5"/>
  <c r="AH54" i="5"/>
  <c r="AF56" i="5" s="1"/>
  <c r="AD58" i="5" s="1"/>
  <c r="AH70" i="5"/>
  <c r="AF72" i="5" s="1"/>
  <c r="AD74" i="5" s="1"/>
  <c r="AB76" i="5" s="1"/>
  <c r="AH66" i="5"/>
  <c r="AH38" i="5"/>
  <c r="AF40" i="5" s="1"/>
  <c r="AD42" i="5" s="1"/>
  <c r="AH34" i="5"/>
  <c r="AH94" i="5"/>
  <c r="AF96" i="5" s="1"/>
  <c r="AH90" i="5"/>
  <c r="BM128" i="1"/>
  <c r="BN10" i="1"/>
  <c r="AH89" i="2"/>
  <c r="AF91" i="2" s="1"/>
  <c r="AD93" i="2" s="1"/>
  <c r="AD82" i="5"/>
  <c r="AJ79" i="2"/>
  <c r="AH81" i="2" s="1"/>
  <c r="AF83" i="2" s="1"/>
  <c r="AJ75" i="2"/>
  <c r="I18" i="3"/>
  <c r="M17" i="3" s="1"/>
  <c r="H17" i="3"/>
  <c r="AI17" i="3"/>
  <c r="AJ47" i="2"/>
  <c r="AH49" i="2" s="1"/>
  <c r="AJ43" i="2"/>
  <c r="AB17" i="3" l="1"/>
  <c r="AH53" i="2"/>
  <c r="AF55" i="2" s="1"/>
  <c r="AD57" i="2" s="1"/>
  <c r="AB59" i="2" s="1"/>
  <c r="Z61" i="2" s="1"/>
  <c r="P17" i="3"/>
  <c r="AF17" i="3"/>
  <c r="X17" i="3"/>
  <c r="AG17" i="3"/>
  <c r="AD17" i="3"/>
  <c r="Y17" i="3"/>
  <c r="T17" i="3"/>
  <c r="AJ17" i="3"/>
  <c r="AH17" i="3"/>
  <c r="AE17" i="3"/>
  <c r="AC17" i="3"/>
  <c r="AA17" i="3"/>
  <c r="Z17" i="3"/>
  <c r="W17" i="3"/>
  <c r="V17" i="3"/>
  <c r="R17" i="3"/>
  <c r="N17" i="3"/>
  <c r="L17" i="3"/>
  <c r="J16" i="3"/>
  <c r="AF36" i="5"/>
  <c r="AD38" i="5" s="1"/>
  <c r="AB40" i="5" s="1"/>
  <c r="U17" i="3"/>
  <c r="S17" i="3"/>
  <c r="Q17" i="3"/>
  <c r="O17" i="3"/>
  <c r="AF92" i="5"/>
  <c r="AD94" i="5" s="1"/>
  <c r="AF88" i="5"/>
  <c r="AF52" i="5"/>
  <c r="AD54" i="5" s="1"/>
  <c r="AB56" i="5" s="1"/>
  <c r="AF48" i="5"/>
  <c r="AF68" i="5"/>
  <c r="AD70" i="5" s="1"/>
  <c r="AB72" i="5" s="1"/>
  <c r="Z74" i="5" s="1"/>
  <c r="AF64" i="5"/>
  <c r="BO10" i="1"/>
  <c r="BN129" i="1"/>
  <c r="AF87" i="2"/>
  <c r="AD89" i="2" s="1"/>
  <c r="AB91" i="2" s="1"/>
  <c r="AH45" i="2"/>
  <c r="AF47" i="2" s="1"/>
  <c r="AH41" i="2"/>
  <c r="I19" i="3"/>
  <c r="L18" i="3" s="1"/>
  <c r="H18" i="3"/>
  <c r="M18" i="3"/>
  <c r="V18" i="3"/>
  <c r="Z18" i="3"/>
  <c r="AD18" i="3"/>
  <c r="AH18" i="3"/>
  <c r="AH77" i="2"/>
  <c r="AF79" i="2" s="1"/>
  <c r="AD81" i="2" s="1"/>
  <c r="AH73" i="2"/>
  <c r="AB80" i="5"/>
  <c r="AJ18" i="3" l="1"/>
  <c r="AF18" i="3"/>
  <c r="AB18" i="3"/>
  <c r="X18" i="3"/>
  <c r="T18" i="3"/>
  <c r="J17" i="3"/>
  <c r="AF51" i="2"/>
  <c r="AD53" i="2" s="1"/>
  <c r="AB55" i="2" s="1"/>
  <c r="Z57" i="2" s="1"/>
  <c r="X59" i="2" s="1"/>
  <c r="AI18" i="3"/>
  <c r="AG18" i="3"/>
  <c r="AE18" i="3"/>
  <c r="AC18" i="3"/>
  <c r="AA18" i="3"/>
  <c r="Y18" i="3"/>
  <c r="W18" i="3"/>
  <c r="U18" i="3"/>
  <c r="S18" i="3"/>
  <c r="R18" i="3"/>
  <c r="P18" i="3"/>
  <c r="Q18" i="3"/>
  <c r="O18" i="3"/>
  <c r="N18" i="3"/>
  <c r="AD90" i="5"/>
  <c r="AB92" i="5" s="1"/>
  <c r="AD86" i="5"/>
  <c r="AD66" i="5"/>
  <c r="AB68" i="5" s="1"/>
  <c r="Z70" i="5" s="1"/>
  <c r="X72" i="5" s="1"/>
  <c r="AD62" i="5"/>
  <c r="AD46" i="5"/>
  <c r="AD50" i="5"/>
  <c r="AB52" i="5" s="1"/>
  <c r="Z54" i="5" s="1"/>
  <c r="BO130" i="1"/>
  <c r="BP10" i="1"/>
  <c r="AD85" i="2"/>
  <c r="AB87" i="2" s="1"/>
  <c r="Z89" i="2" s="1"/>
  <c r="Z78" i="5"/>
  <c r="AF75" i="2"/>
  <c r="AD77" i="2" s="1"/>
  <c r="AB79" i="2" s="1"/>
  <c r="AF71" i="2"/>
  <c r="I20" i="3"/>
  <c r="L19" i="3" s="1"/>
  <c r="H19" i="3"/>
  <c r="AF43" i="2"/>
  <c r="AD45" i="2" s="1"/>
  <c r="AF39" i="2"/>
  <c r="T19" i="3" l="1"/>
  <c r="AD49" i="2"/>
  <c r="AB51" i="2" s="1"/>
  <c r="Z53" i="2" s="1"/>
  <c r="X55" i="2" s="1"/>
  <c r="V57" i="2" s="1"/>
  <c r="J18" i="3"/>
  <c r="AB44" i="5"/>
  <c r="AB48" i="5"/>
  <c r="Z50" i="5" s="1"/>
  <c r="X52" i="5" s="1"/>
  <c r="AJ19" i="3"/>
  <c r="AB64" i="5"/>
  <c r="Z66" i="5" s="1"/>
  <c r="X68" i="5" s="1"/>
  <c r="V70" i="5" s="1"/>
  <c r="AB60" i="5"/>
  <c r="AB88" i="5"/>
  <c r="Z90" i="5" s="1"/>
  <c r="AB84" i="5"/>
  <c r="BP131" i="1"/>
  <c r="BQ10" i="1"/>
  <c r="AA19" i="3"/>
  <c r="M19" i="3"/>
  <c r="AE19" i="3"/>
  <c r="X19" i="3"/>
  <c r="P19" i="3"/>
  <c r="AB83" i="2"/>
  <c r="Z85" i="2" s="1"/>
  <c r="X87" i="2" s="1"/>
  <c r="AH19" i="3"/>
  <c r="AC19" i="3"/>
  <c r="Y19" i="3"/>
  <c r="V19" i="3"/>
  <c r="R19" i="3"/>
  <c r="N19" i="3"/>
  <c r="AD41" i="2"/>
  <c r="AB43" i="2" s="1"/>
  <c r="AI19" i="3"/>
  <c r="AG19" i="3"/>
  <c r="AF19" i="3"/>
  <c r="AD19" i="3"/>
  <c r="AB19" i="3"/>
  <c r="Z19" i="3"/>
  <c r="W19" i="3"/>
  <c r="U19" i="3"/>
  <c r="S19" i="3"/>
  <c r="Q19" i="3"/>
  <c r="O19" i="3"/>
  <c r="AD73" i="2"/>
  <c r="AB75" i="2" s="1"/>
  <c r="Z77" i="2" s="1"/>
  <c r="AD69" i="2"/>
  <c r="X76" i="5"/>
  <c r="I21" i="3"/>
  <c r="M20" i="3" s="1"/>
  <c r="H20" i="3"/>
  <c r="N20" i="3"/>
  <c r="P20" i="3"/>
  <c r="R20" i="3"/>
  <c r="T20" i="3"/>
  <c r="V20" i="3"/>
  <c r="X20" i="3"/>
  <c r="Y20" i="3"/>
  <c r="AB20" i="3"/>
  <c r="AD20" i="3"/>
  <c r="AF20" i="3"/>
  <c r="AH20" i="3"/>
  <c r="AJ20" i="3"/>
  <c r="AB47" i="2" l="1"/>
  <c r="Z49" i="2" s="1"/>
  <c r="X51" i="2" s="1"/>
  <c r="V53" i="2" s="1"/>
  <c r="T55" i="2" s="1"/>
  <c r="AI20" i="3"/>
  <c r="AG20" i="3"/>
  <c r="AE20" i="3"/>
  <c r="AC20" i="3"/>
  <c r="AA20" i="3"/>
  <c r="Z20" i="3"/>
  <c r="W20" i="3"/>
  <c r="U20" i="3"/>
  <c r="S20" i="3"/>
  <c r="Q20" i="3"/>
  <c r="O20" i="3"/>
  <c r="Z86" i="5"/>
  <c r="X88" i="5" s="1"/>
  <c r="Z82" i="5"/>
  <c r="Z58" i="5"/>
  <c r="Z62" i="5"/>
  <c r="X64" i="5" s="1"/>
  <c r="V66" i="5" s="1"/>
  <c r="T68" i="5" s="1"/>
  <c r="Z42" i="5"/>
  <c r="Z46" i="5"/>
  <c r="X48" i="5" s="1"/>
  <c r="V50" i="5" s="1"/>
  <c r="L20" i="3"/>
  <c r="BR10" i="1"/>
  <c r="BQ132" i="1"/>
  <c r="Z81" i="2"/>
  <c r="X83" i="2" s="1"/>
  <c r="V85" i="2" s="1"/>
  <c r="J19" i="3"/>
  <c r="I22" i="3"/>
  <c r="N21" i="3" s="1"/>
  <c r="H21" i="3"/>
  <c r="AG21" i="3"/>
  <c r="V74" i="5"/>
  <c r="AB71" i="2"/>
  <c r="Z73" i="2" s="1"/>
  <c r="X75" i="2" s="1"/>
  <c r="AB67" i="2"/>
  <c r="Z45" i="2" l="1"/>
  <c r="X47" i="2" s="1"/>
  <c r="V49" i="2" s="1"/>
  <c r="T51" i="2" s="1"/>
  <c r="R53" i="2" s="1"/>
  <c r="J20" i="3"/>
  <c r="L21" i="3"/>
  <c r="Z21" i="3"/>
  <c r="AC21" i="3"/>
  <c r="V21" i="3"/>
  <c r="AJ21" i="3"/>
  <c r="AE21" i="3"/>
  <c r="AA21" i="3"/>
  <c r="W21" i="3"/>
  <c r="T21" i="3"/>
  <c r="X44" i="5"/>
  <c r="V46" i="5" s="1"/>
  <c r="T48" i="5" s="1"/>
  <c r="X84" i="5"/>
  <c r="V86" i="5" s="1"/>
  <c r="X80" i="5"/>
  <c r="R21" i="3"/>
  <c r="X60" i="5"/>
  <c r="V62" i="5" s="1"/>
  <c r="T64" i="5" s="1"/>
  <c r="R66" i="5" s="1"/>
  <c r="X56" i="5"/>
  <c r="BR133" i="1"/>
  <c r="BS10" i="1"/>
  <c r="X79" i="2"/>
  <c r="V81" i="2" s="1"/>
  <c r="T83" i="2" s="1"/>
  <c r="P21" i="3"/>
  <c r="AI21" i="3"/>
  <c r="AH21" i="3"/>
  <c r="AF21" i="3"/>
  <c r="AD21" i="3"/>
  <c r="AB21" i="3"/>
  <c r="Y21" i="3"/>
  <c r="X21" i="3"/>
  <c r="U21" i="3"/>
  <c r="S21" i="3"/>
  <c r="Q21" i="3"/>
  <c r="Z69" i="2"/>
  <c r="X71" i="2" s="1"/>
  <c r="V73" i="2" s="1"/>
  <c r="Z65" i="2"/>
  <c r="T72" i="5"/>
  <c r="I23" i="3"/>
  <c r="L22" i="3" s="1"/>
  <c r="H22" i="3"/>
  <c r="AB22" i="3"/>
  <c r="O21" i="3"/>
  <c r="M21" i="3"/>
  <c r="V54" i="5" l="1"/>
  <c r="V58" i="5"/>
  <c r="T60" i="5" s="1"/>
  <c r="R62" i="5" s="1"/>
  <c r="P64" i="5" s="1"/>
  <c r="V82" i="5"/>
  <c r="T84" i="5" s="1"/>
  <c r="V78" i="5"/>
  <c r="BT10" i="1"/>
  <c r="BS134" i="1"/>
  <c r="M22" i="3"/>
  <c r="J21" i="3"/>
  <c r="AJ22" i="3"/>
  <c r="T22" i="3"/>
  <c r="AF22" i="3"/>
  <c r="X22" i="3"/>
  <c r="P22" i="3"/>
  <c r="V77" i="2"/>
  <c r="T79" i="2" s="1"/>
  <c r="R81" i="2" s="1"/>
  <c r="AH22" i="3"/>
  <c r="AD22" i="3"/>
  <c r="Y22" i="3"/>
  <c r="V22" i="3"/>
  <c r="R22" i="3"/>
  <c r="N22" i="3"/>
  <c r="AI22" i="3"/>
  <c r="AG22" i="3"/>
  <c r="AE22" i="3"/>
  <c r="AC22" i="3"/>
  <c r="AA22" i="3"/>
  <c r="Z22" i="3"/>
  <c r="W22" i="3"/>
  <c r="U22" i="3"/>
  <c r="S22" i="3"/>
  <c r="Q22" i="3"/>
  <c r="O22" i="3"/>
  <c r="I24" i="3"/>
  <c r="L23" i="3" s="1"/>
  <c r="H23" i="3"/>
  <c r="R70" i="5"/>
  <c r="X67" i="2"/>
  <c r="V69" i="2" s="1"/>
  <c r="X63" i="2"/>
  <c r="T75" i="2"/>
  <c r="R77" i="2" s="1"/>
  <c r="P79" i="2" s="1"/>
  <c r="M23" i="3" l="1"/>
  <c r="AI23" i="3"/>
  <c r="AF23" i="3"/>
  <c r="J22" i="3"/>
  <c r="AG23" i="3"/>
  <c r="Z23" i="3"/>
  <c r="AJ23" i="3"/>
  <c r="AH23" i="3"/>
  <c r="AE23" i="3"/>
  <c r="AD23" i="3"/>
  <c r="V23" i="3"/>
  <c r="AC23" i="3"/>
  <c r="AA23" i="3"/>
  <c r="X23" i="3"/>
  <c r="S23" i="3"/>
  <c r="T80" i="5"/>
  <c r="R82" i="5" s="1"/>
  <c r="T76" i="5"/>
  <c r="AB23" i="3"/>
  <c r="Y23" i="3"/>
  <c r="W23" i="3"/>
  <c r="U23" i="3"/>
  <c r="P23" i="3"/>
  <c r="T52" i="5"/>
  <c r="T56" i="5"/>
  <c r="R58" i="5" s="1"/>
  <c r="P60" i="5" s="1"/>
  <c r="N62" i="5" s="1"/>
  <c r="BU10" i="1"/>
  <c r="BT135" i="1"/>
  <c r="T23" i="3"/>
  <c r="R23" i="3"/>
  <c r="N23" i="3"/>
  <c r="Q23" i="3"/>
  <c r="O23" i="3"/>
  <c r="T71" i="2"/>
  <c r="V65" i="2"/>
  <c r="T67" i="2" s="1"/>
  <c r="V61" i="2"/>
  <c r="P68" i="5"/>
  <c r="I25" i="3"/>
  <c r="N24" i="3" s="1"/>
  <c r="H24" i="3"/>
  <c r="R69" i="2" l="1"/>
  <c r="R50" i="5"/>
  <c r="R54" i="5"/>
  <c r="P56" i="5" s="1"/>
  <c r="N58" i="5" s="1"/>
  <c r="L60" i="5" s="1"/>
  <c r="R78" i="5"/>
  <c r="P80" i="5" s="1"/>
  <c r="R74" i="5"/>
  <c r="M24" i="3"/>
  <c r="BV10" i="1"/>
  <c r="BU136" i="1"/>
  <c r="J23" i="3"/>
  <c r="AB24" i="3"/>
  <c r="AG24" i="3"/>
  <c r="T24" i="3"/>
  <c r="AI24" i="3"/>
  <c r="AE24" i="3"/>
  <c r="W24" i="3"/>
  <c r="P24" i="3"/>
  <c r="AJ24" i="3"/>
  <c r="AH24" i="3"/>
  <c r="AF24" i="3"/>
  <c r="AD24" i="3"/>
  <c r="Z24" i="3"/>
  <c r="V24" i="3"/>
  <c r="R24" i="3"/>
  <c r="I26" i="3"/>
  <c r="L25" i="3" s="1"/>
  <c r="H25" i="3"/>
  <c r="M25" i="3"/>
  <c r="Q25" i="3"/>
  <c r="U25" i="3"/>
  <c r="X25" i="3"/>
  <c r="Z25" i="3"/>
  <c r="AB25" i="3"/>
  <c r="AA25" i="3"/>
  <c r="AD25" i="3"/>
  <c r="AC25" i="3"/>
  <c r="AF25" i="3"/>
  <c r="AE25" i="3"/>
  <c r="AG25" i="3"/>
  <c r="AH25" i="3"/>
  <c r="AI25" i="3"/>
  <c r="AJ25" i="3"/>
  <c r="R73" i="2"/>
  <c r="P75" i="2" s="1"/>
  <c r="N77" i="2" s="1"/>
  <c r="AC24" i="3"/>
  <c r="AA24" i="3"/>
  <c r="Y24" i="3"/>
  <c r="X24" i="3"/>
  <c r="U24" i="3"/>
  <c r="S24" i="3"/>
  <c r="Q24" i="3"/>
  <c r="O24" i="3"/>
  <c r="L24" i="3"/>
  <c r="N66" i="5"/>
  <c r="T63" i="2"/>
  <c r="R65" i="2" s="1"/>
  <c r="T59" i="2"/>
  <c r="P67" i="2" l="1"/>
  <c r="Y25" i="3"/>
  <c r="W25" i="3"/>
  <c r="S25" i="3"/>
  <c r="O25" i="3"/>
  <c r="P52" i="5"/>
  <c r="N54" i="5" s="1"/>
  <c r="L56" i="5" s="1"/>
  <c r="J58" i="5" s="1"/>
  <c r="P76" i="5"/>
  <c r="N78" i="5" s="1"/>
  <c r="P72" i="5"/>
  <c r="BW10" i="1"/>
  <c r="BV137" i="1"/>
  <c r="V25" i="3"/>
  <c r="T25" i="3"/>
  <c r="R25" i="3"/>
  <c r="P25" i="3"/>
  <c r="N25" i="3"/>
  <c r="P71" i="2"/>
  <c r="N73" i="2" s="1"/>
  <c r="L75" i="2" s="1"/>
  <c r="R61" i="2"/>
  <c r="P63" i="2" s="1"/>
  <c r="N65" i="2" s="1"/>
  <c r="R57" i="2"/>
  <c r="L64" i="5"/>
  <c r="J24" i="3"/>
  <c r="I27" i="3"/>
  <c r="M26" i="3" s="1"/>
  <c r="H26" i="3"/>
  <c r="L26" i="3"/>
  <c r="T26" i="3"/>
  <c r="Y26" i="3"/>
  <c r="AD26" i="3"/>
  <c r="AH26" i="3"/>
  <c r="AJ26" i="3" l="1"/>
  <c r="AF26" i="3"/>
  <c r="AB26" i="3"/>
  <c r="X26" i="3"/>
  <c r="P26" i="3"/>
  <c r="AI26" i="3"/>
  <c r="AG26" i="3"/>
  <c r="AE26" i="3"/>
  <c r="AC26" i="3"/>
  <c r="AA26" i="3"/>
  <c r="Z26" i="3"/>
  <c r="V26" i="3"/>
  <c r="R26" i="3"/>
  <c r="N26" i="3"/>
  <c r="N69" i="2"/>
  <c r="L71" i="2" s="1"/>
  <c r="J73" i="2" s="1"/>
  <c r="N74" i="5"/>
  <c r="L76" i="5" s="1"/>
  <c r="N70" i="5"/>
  <c r="BW138" i="1"/>
  <c r="BX10" i="1"/>
  <c r="J25" i="3"/>
  <c r="W26" i="3"/>
  <c r="U26" i="3"/>
  <c r="S26" i="3"/>
  <c r="Q26" i="3"/>
  <c r="O26" i="3"/>
  <c r="I28" i="3"/>
  <c r="N27" i="3" s="1"/>
  <c r="H27" i="3"/>
  <c r="M27" i="3"/>
  <c r="AI27" i="3"/>
  <c r="J62" i="5"/>
  <c r="P59" i="2"/>
  <c r="N61" i="2" s="1"/>
  <c r="L63" i="2" s="1"/>
  <c r="P55" i="2"/>
  <c r="AJ27" i="3" l="1"/>
  <c r="AG27" i="3"/>
  <c r="L67" i="2"/>
  <c r="J65" i="2" s="1"/>
  <c r="AH27" i="3"/>
  <c r="AD27" i="3"/>
  <c r="AF27" i="3"/>
  <c r="Z27" i="3"/>
  <c r="AE27" i="3"/>
  <c r="AC27" i="3"/>
  <c r="AA27" i="3"/>
  <c r="X27" i="3"/>
  <c r="AB27" i="3"/>
  <c r="Y27" i="3"/>
  <c r="S27" i="3"/>
  <c r="W27" i="3"/>
  <c r="U27" i="3"/>
  <c r="Q27" i="3"/>
  <c r="V27" i="3"/>
  <c r="T27" i="3"/>
  <c r="R27" i="3"/>
  <c r="P27" i="3"/>
  <c r="L72" i="5"/>
  <c r="J74" i="5" s="1"/>
  <c r="L68" i="5"/>
  <c r="BX139" i="1"/>
  <c r="BY10" i="1"/>
  <c r="J26" i="3"/>
  <c r="J69" i="2"/>
  <c r="H71" i="2" s="1"/>
  <c r="O27" i="3"/>
  <c r="N57" i="2"/>
  <c r="L59" i="2" s="1"/>
  <c r="J61" i="2" s="1"/>
  <c r="H60" i="5"/>
  <c r="I29" i="3"/>
  <c r="L28" i="3" s="1"/>
  <c r="H28" i="3"/>
  <c r="AE28" i="3"/>
  <c r="L27" i="3"/>
  <c r="H63" i="2" l="1"/>
  <c r="AJ28" i="3"/>
  <c r="AA28" i="3"/>
  <c r="V28" i="3"/>
  <c r="AH28" i="3"/>
  <c r="AC28" i="3"/>
  <c r="Y28" i="3"/>
  <c r="AI28" i="3"/>
  <c r="AG28" i="3"/>
  <c r="AF28" i="3"/>
  <c r="AD28" i="3"/>
  <c r="AB28" i="3"/>
  <c r="X28" i="3"/>
  <c r="J27" i="3"/>
  <c r="S28" i="3"/>
  <c r="M28" i="3"/>
  <c r="Z28" i="3"/>
  <c r="W28" i="3"/>
  <c r="U28" i="3"/>
  <c r="P28" i="3"/>
  <c r="T28" i="3"/>
  <c r="R28" i="3"/>
  <c r="N28" i="3"/>
  <c r="Q28" i="3"/>
  <c r="O28" i="3"/>
  <c r="J70" i="5"/>
  <c r="H72" i="5" s="1"/>
  <c r="J66" i="5"/>
  <c r="BY140" i="1"/>
  <c r="BZ10" i="1"/>
  <c r="H67" i="2"/>
  <c r="F69" i="2" s="1"/>
  <c r="I30" i="3"/>
  <c r="M29" i="3" s="1"/>
  <c r="H29" i="3"/>
  <c r="L29" i="3"/>
  <c r="AA29" i="3"/>
  <c r="AE29" i="3"/>
  <c r="AI29" i="3"/>
  <c r="AG29" i="3" l="1"/>
  <c r="AC29" i="3"/>
  <c r="Y29" i="3"/>
  <c r="AJ29" i="3"/>
  <c r="AH29" i="3"/>
  <c r="AF29" i="3"/>
  <c r="AD29" i="3"/>
  <c r="AB29" i="3"/>
  <c r="Z29" i="3"/>
  <c r="W29" i="3"/>
  <c r="J28" i="3"/>
  <c r="S29" i="3"/>
  <c r="X29" i="3"/>
  <c r="U29" i="3"/>
  <c r="Q29" i="3"/>
  <c r="O29" i="3"/>
  <c r="H68" i="5"/>
  <c r="F70" i="5" s="1"/>
  <c r="H64" i="5"/>
  <c r="CA10" i="1"/>
  <c r="BZ141" i="1"/>
  <c r="F65" i="2"/>
  <c r="V29" i="3"/>
  <c r="T29" i="3"/>
  <c r="R29" i="3"/>
  <c r="P29" i="3"/>
  <c r="N29" i="3"/>
  <c r="I31" i="3"/>
  <c r="M30" i="3" s="1"/>
  <c r="H30" i="3"/>
  <c r="O30" i="3"/>
  <c r="X30" i="3"/>
  <c r="AB30" i="3"/>
  <c r="AD30" i="3"/>
  <c r="AF30" i="3"/>
  <c r="AH30" i="3"/>
  <c r="AJ30" i="3"/>
  <c r="R4" i="2"/>
  <c r="N4" i="2"/>
  <c r="AI30" i="3" l="1"/>
  <c r="AG30" i="3"/>
  <c r="AE30" i="3"/>
  <c r="AC30" i="3"/>
  <c r="Z30" i="3"/>
  <c r="U30" i="3"/>
  <c r="AA30" i="3"/>
  <c r="Y30" i="3"/>
  <c r="W30" i="3"/>
  <c r="S30" i="3"/>
  <c r="V30" i="3"/>
  <c r="T30" i="3"/>
  <c r="Q30" i="3"/>
  <c r="F88" i="2"/>
  <c r="F92" i="2"/>
  <c r="D67" i="2"/>
  <c r="F66" i="5"/>
  <c r="D68" i="5" s="1"/>
  <c r="F62" i="5"/>
  <c r="L30" i="3"/>
  <c r="CA142" i="1"/>
  <c r="CB10" i="1"/>
  <c r="J29" i="3"/>
  <c r="R30" i="3"/>
  <c r="P30" i="3"/>
  <c r="N30" i="3"/>
  <c r="I32" i="3"/>
  <c r="M31" i="3" s="1"/>
  <c r="H31" i="3"/>
  <c r="L31" i="3"/>
  <c r="T31" i="3"/>
  <c r="U31" i="3"/>
  <c r="V31" i="3"/>
  <c r="W31" i="3"/>
  <c r="X31" i="3"/>
  <c r="Y31" i="3"/>
  <c r="Z31" i="3"/>
  <c r="AB31" i="3"/>
  <c r="AA31" i="3"/>
  <c r="AD31" i="3"/>
  <c r="AC31" i="3"/>
  <c r="AF31" i="3"/>
  <c r="AE31" i="3"/>
  <c r="AH31" i="3"/>
  <c r="AG31" i="3"/>
  <c r="AI31" i="3"/>
  <c r="AJ31" i="3"/>
  <c r="J4" i="2"/>
  <c r="H114" i="2" l="1"/>
  <c r="N112" i="2"/>
  <c r="D90" i="2"/>
  <c r="H119" i="2" s="1"/>
  <c r="C42" i="4"/>
  <c r="N113" i="2"/>
  <c r="L114" i="2"/>
  <c r="Q31" i="3"/>
  <c r="D64" i="5"/>
  <c r="B66" i="5" s="1"/>
  <c r="C43" i="4" s="1"/>
  <c r="CC10" i="1"/>
  <c r="CC144" i="1" s="1"/>
  <c r="CB143" i="1"/>
  <c r="S31" i="3"/>
  <c r="O31" i="3"/>
  <c r="J30" i="3"/>
  <c r="R31" i="3"/>
  <c r="P31" i="3"/>
  <c r="N31" i="3"/>
  <c r="I33" i="3"/>
  <c r="L32" i="3" s="1"/>
  <c r="H32" i="3"/>
  <c r="U32" i="3"/>
  <c r="X32" i="3"/>
  <c r="Z32" i="3"/>
  <c r="AA32" i="3"/>
  <c r="AD32" i="3"/>
  <c r="AF32" i="3"/>
  <c r="AH32" i="3"/>
  <c r="AJ32" i="3"/>
  <c r="N114" i="2" l="1"/>
  <c r="D119" i="2" s="1"/>
  <c r="AI32" i="3"/>
  <c r="AG32" i="3"/>
  <c r="AE32" i="3"/>
  <c r="AC32" i="3"/>
  <c r="AB32" i="3"/>
  <c r="Y32" i="3"/>
  <c r="W32" i="3"/>
  <c r="V32" i="3"/>
  <c r="M32" i="3"/>
  <c r="S32" i="3"/>
  <c r="T32" i="3"/>
  <c r="Q32" i="3"/>
  <c r="O32" i="3"/>
  <c r="J31" i="3"/>
  <c r="R32" i="3"/>
  <c r="P32" i="3"/>
  <c r="N32" i="3"/>
  <c r="I34" i="3"/>
  <c r="L33" i="3" s="1"/>
  <c r="H33" i="3"/>
  <c r="M33" i="3"/>
  <c r="W33" i="3"/>
  <c r="Z33" i="3"/>
  <c r="AA33" i="3"/>
  <c r="AC33" i="3"/>
  <c r="AF33" i="3"/>
  <c r="AE33" i="3"/>
  <c r="AG33" i="3"/>
  <c r="AH33" i="3"/>
  <c r="AI33" i="3"/>
  <c r="AJ33" i="3"/>
  <c r="AD33" i="3" l="1"/>
  <c r="AB33" i="3"/>
  <c r="Y33" i="3"/>
  <c r="U33" i="3"/>
  <c r="X33" i="3"/>
  <c r="S33" i="3"/>
  <c r="J32" i="3"/>
  <c r="V33" i="3"/>
  <c r="T33" i="3"/>
  <c r="R33" i="3"/>
  <c r="Q33" i="3"/>
  <c r="P33" i="3"/>
  <c r="O33" i="3"/>
  <c r="N33" i="3"/>
  <c r="I35" i="3"/>
  <c r="L34" i="3" s="1"/>
  <c r="H34" i="3"/>
  <c r="M34" i="3"/>
  <c r="AF34" i="3"/>
  <c r="AG34" i="3"/>
  <c r="AI34" i="3"/>
  <c r="AD34" i="3" l="1"/>
  <c r="AJ34" i="3"/>
  <c r="AH34" i="3"/>
  <c r="AE34" i="3"/>
  <c r="AC34" i="3"/>
  <c r="AA34" i="3"/>
  <c r="AB34" i="3"/>
  <c r="Z34" i="3"/>
  <c r="Y34" i="3"/>
  <c r="X34" i="3"/>
  <c r="V34" i="3"/>
  <c r="T34" i="3"/>
  <c r="W34" i="3"/>
  <c r="U34" i="3"/>
  <c r="R34" i="3"/>
  <c r="S34" i="3"/>
  <c r="Q34" i="3"/>
  <c r="P34" i="3"/>
  <c r="J33" i="3"/>
  <c r="N34" i="3"/>
  <c r="O34" i="3"/>
  <c r="I36" i="3"/>
  <c r="M35" i="3" s="1"/>
  <c r="H35" i="3"/>
  <c r="L35" i="3"/>
  <c r="AB35" i="3"/>
  <c r="AD35" i="3"/>
  <c r="AF35" i="3"/>
  <c r="AG35" i="3"/>
  <c r="AJ35" i="3"/>
  <c r="AI35" i="3" l="1"/>
  <c r="AH35" i="3"/>
  <c r="AE35" i="3"/>
  <c r="AC35" i="3"/>
  <c r="Z35" i="3"/>
  <c r="AA35" i="3"/>
  <c r="X35" i="3"/>
  <c r="Y35" i="3"/>
  <c r="U35" i="3"/>
  <c r="W35" i="3"/>
  <c r="V35" i="3"/>
  <c r="S35" i="3"/>
  <c r="T35" i="3"/>
  <c r="R35" i="3"/>
  <c r="P35" i="3"/>
  <c r="Q35" i="3"/>
  <c r="N35" i="3"/>
  <c r="O35" i="3"/>
  <c r="J34" i="3"/>
  <c r="I37" i="3"/>
  <c r="L36" i="3" s="1"/>
  <c r="H36" i="3"/>
  <c r="AH36" i="3" l="1"/>
  <c r="M36" i="3"/>
  <c r="AD36" i="3"/>
  <c r="AJ36" i="3"/>
  <c r="AF36" i="3"/>
  <c r="AB36" i="3"/>
  <c r="AI36" i="3"/>
  <c r="AG36" i="3"/>
  <c r="AE36" i="3"/>
  <c r="AC36" i="3"/>
  <c r="Y36" i="3"/>
  <c r="AA36" i="3"/>
  <c r="V36" i="3"/>
  <c r="Z36" i="3"/>
  <c r="X36" i="3"/>
  <c r="T36" i="3"/>
  <c r="W36" i="3"/>
  <c r="U36" i="3"/>
  <c r="R36" i="3"/>
  <c r="S36" i="3"/>
  <c r="Q36" i="3"/>
  <c r="J35" i="3"/>
  <c r="P36" i="3"/>
  <c r="N36" i="3"/>
  <c r="O36" i="3"/>
  <c r="I38" i="3"/>
  <c r="M37" i="3" s="1"/>
  <c r="H37" i="3"/>
  <c r="L37" i="3"/>
  <c r="U37" i="3"/>
  <c r="W37" i="3"/>
  <c r="X37" i="3"/>
  <c r="Y37" i="3"/>
  <c r="Z37" i="3"/>
  <c r="AB37" i="3"/>
  <c r="AA37" i="3"/>
  <c r="AD37" i="3"/>
  <c r="AC37" i="3"/>
  <c r="AF37" i="3"/>
  <c r="AE37" i="3"/>
  <c r="AG37" i="3"/>
  <c r="AH37" i="3"/>
  <c r="AI37" i="3"/>
  <c r="AJ37" i="3"/>
  <c r="V37" i="3" l="1"/>
  <c r="T37" i="3"/>
  <c r="S37" i="3"/>
  <c r="R37" i="3"/>
  <c r="Q37" i="3"/>
  <c r="P37" i="3"/>
  <c r="J36" i="3"/>
  <c r="N37" i="3"/>
  <c r="O37" i="3"/>
  <c r="I39" i="3"/>
  <c r="L38" i="3" s="1"/>
  <c r="H38" i="3"/>
  <c r="V38" i="3"/>
  <c r="W38" i="3"/>
  <c r="Y38" i="3"/>
  <c r="Z38" i="3"/>
  <c r="AB38" i="3"/>
  <c r="AA38" i="3"/>
  <c r="AD38" i="3"/>
  <c r="AC38" i="3"/>
  <c r="AF38" i="3"/>
  <c r="AE38" i="3"/>
  <c r="AH38" i="3"/>
  <c r="AG38" i="3"/>
  <c r="AI38" i="3"/>
  <c r="AJ38" i="3"/>
  <c r="M38" i="3" l="1"/>
  <c r="X38" i="3"/>
  <c r="U38" i="3"/>
  <c r="S38" i="3"/>
  <c r="T38" i="3"/>
  <c r="P38" i="3"/>
  <c r="R38" i="3"/>
  <c r="N38" i="3"/>
  <c r="J37" i="3"/>
  <c r="Q38" i="3"/>
  <c r="O38" i="3"/>
  <c r="I40" i="3"/>
  <c r="N39" i="3" s="1"/>
  <c r="H39" i="3"/>
  <c r="L39" i="3"/>
  <c r="AA39" i="3"/>
  <c r="AD39" i="3"/>
  <c r="AC39" i="3"/>
  <c r="AE39" i="3"/>
  <c r="AF39" i="3"/>
  <c r="AG39" i="3"/>
  <c r="AH39" i="3"/>
  <c r="AI39" i="3"/>
  <c r="AJ39" i="3"/>
  <c r="Y39" i="3" l="1"/>
  <c r="AB39" i="3"/>
  <c r="X39" i="3"/>
  <c r="Z39" i="3"/>
  <c r="T39" i="3"/>
  <c r="V39" i="3"/>
  <c r="R39" i="3"/>
  <c r="W39" i="3"/>
  <c r="U39" i="3"/>
  <c r="S39" i="3"/>
  <c r="Q39" i="3"/>
  <c r="P39" i="3"/>
  <c r="J38" i="3"/>
  <c r="O39" i="3"/>
  <c r="I41" i="3"/>
  <c r="N40" i="3" s="1"/>
  <c r="H40" i="3"/>
  <c r="M40" i="3"/>
  <c r="Q40" i="3"/>
  <c r="R40" i="3"/>
  <c r="S40" i="3"/>
  <c r="T40" i="3"/>
  <c r="U40" i="3"/>
  <c r="V40" i="3"/>
  <c r="W40" i="3"/>
  <c r="X40" i="3"/>
  <c r="Z40" i="3"/>
  <c r="Y40" i="3"/>
  <c r="AA40" i="3"/>
  <c r="AB40" i="3"/>
  <c r="AD40" i="3"/>
  <c r="AC40" i="3"/>
  <c r="AE40" i="3"/>
  <c r="AF40" i="3"/>
  <c r="AG40" i="3"/>
  <c r="AH40" i="3"/>
  <c r="AI40" i="3"/>
  <c r="AJ40" i="3"/>
  <c r="M39" i="3"/>
  <c r="P40" i="3" l="1"/>
  <c r="O40" i="3"/>
  <c r="J39" i="3"/>
  <c r="I42" i="3"/>
  <c r="L41" i="3" s="1"/>
  <c r="H41" i="3"/>
  <c r="M41" i="3"/>
  <c r="Z41" i="3"/>
  <c r="AC41" i="3"/>
  <c r="AF41" i="3"/>
  <c r="AG41" i="3"/>
  <c r="AI41" i="3"/>
  <c r="L40" i="3"/>
  <c r="J40" i="3" s="1"/>
  <c r="AJ41" i="3" l="1"/>
  <c r="AH41" i="3"/>
  <c r="AE41" i="3"/>
  <c r="AD41" i="3"/>
  <c r="AB41" i="3"/>
  <c r="W41" i="3"/>
  <c r="AA41" i="3"/>
  <c r="Y41" i="3"/>
  <c r="U41" i="3"/>
  <c r="X41" i="3"/>
  <c r="V41" i="3"/>
  <c r="T41" i="3"/>
  <c r="S41" i="3"/>
  <c r="Q41" i="3"/>
  <c r="R41" i="3"/>
  <c r="P41" i="3"/>
  <c r="O41" i="3"/>
  <c r="N41" i="3"/>
  <c r="I43" i="3"/>
  <c r="M42" i="3" s="1"/>
  <c r="H42" i="3"/>
  <c r="Y42" i="3" l="1"/>
  <c r="AH42" i="3"/>
  <c r="AI42" i="3"/>
  <c r="AD42" i="3"/>
  <c r="AE42" i="3"/>
  <c r="AB42" i="3"/>
  <c r="L42" i="3"/>
  <c r="AJ42" i="3"/>
  <c r="AG42" i="3"/>
  <c r="AF42" i="3"/>
  <c r="AC42" i="3"/>
  <c r="AA42" i="3"/>
  <c r="Z42" i="3"/>
  <c r="W42" i="3"/>
  <c r="X42" i="3"/>
  <c r="U42" i="3"/>
  <c r="V42" i="3"/>
  <c r="T42" i="3"/>
  <c r="S42" i="3"/>
  <c r="R42" i="3"/>
  <c r="J41" i="3"/>
  <c r="P42" i="3"/>
  <c r="N42" i="3"/>
  <c r="Q42" i="3"/>
  <c r="O42" i="3"/>
  <c r="I44" i="3"/>
  <c r="L43" i="3" s="1"/>
  <c r="H43" i="3"/>
  <c r="M43" i="3"/>
  <c r="S43" i="3"/>
  <c r="U43" i="3"/>
  <c r="V43" i="3"/>
  <c r="W43" i="3"/>
  <c r="X43" i="3"/>
  <c r="Y43" i="3"/>
  <c r="Z43" i="3"/>
  <c r="AB43" i="3"/>
  <c r="AA43" i="3"/>
  <c r="AC43" i="3"/>
  <c r="AD43" i="3"/>
  <c r="AF43" i="3"/>
  <c r="AE43" i="3"/>
  <c r="AG43" i="3"/>
  <c r="AH43" i="3"/>
  <c r="AI43" i="3"/>
  <c r="AJ43" i="3"/>
  <c r="T43" i="3" l="1"/>
  <c r="Q43" i="3"/>
  <c r="R43" i="3"/>
  <c r="O43" i="3"/>
  <c r="P43" i="3"/>
  <c r="J43" i="3" s="1"/>
  <c r="N43" i="3"/>
  <c r="J42" i="3"/>
  <c r="I45" i="3"/>
  <c r="M44" i="3" s="1"/>
  <c r="H44" i="3"/>
  <c r="L44" i="3"/>
  <c r="O44" i="3"/>
  <c r="Q44" i="3"/>
  <c r="R44" i="3"/>
  <c r="S44" i="3"/>
  <c r="T44" i="3"/>
  <c r="U44" i="3"/>
  <c r="V44" i="3"/>
  <c r="W44" i="3"/>
  <c r="X44" i="3"/>
  <c r="Y44" i="3"/>
  <c r="Z44" i="3"/>
  <c r="AA44" i="3"/>
  <c r="AB44" i="3"/>
  <c r="AD44" i="3"/>
  <c r="AC44" i="3"/>
  <c r="AF44" i="3"/>
  <c r="AE44" i="3"/>
  <c r="AG44" i="3"/>
  <c r="AH44" i="3"/>
  <c r="AI44" i="3"/>
  <c r="AJ44" i="3"/>
  <c r="P44" i="3" l="1"/>
  <c r="N44" i="3"/>
  <c r="J44" i="3"/>
  <c r="I46" i="3"/>
  <c r="H45" i="3"/>
  <c r="M45" i="3"/>
  <c r="L45" i="3"/>
  <c r="N45" i="3"/>
  <c r="O45" i="3"/>
  <c r="P45" i="3"/>
  <c r="Q45" i="3"/>
  <c r="R45" i="3"/>
  <c r="S45" i="3"/>
  <c r="T45" i="3"/>
  <c r="U45" i="3"/>
  <c r="V45" i="3"/>
  <c r="X45" i="3"/>
  <c r="W45" i="3"/>
  <c r="Y45" i="3"/>
  <c r="Z45" i="3"/>
  <c r="AA45" i="3"/>
  <c r="AB45" i="3"/>
  <c r="AC45" i="3"/>
  <c r="AD45" i="3"/>
  <c r="AE45" i="3"/>
  <c r="AF45" i="3"/>
  <c r="AG45" i="3"/>
  <c r="AH45" i="3"/>
  <c r="AI45" i="3"/>
  <c r="AJ45" i="3"/>
  <c r="I47" i="3" l="1"/>
  <c r="M46" i="3" s="1"/>
  <c r="H46" i="3"/>
  <c r="L46" i="3"/>
  <c r="AD46" i="3"/>
  <c r="AH46" i="3"/>
  <c r="AJ46" i="3"/>
  <c r="J45" i="3"/>
  <c r="AF46" i="3" l="1"/>
  <c r="AA46" i="3"/>
  <c r="AI46" i="3"/>
  <c r="AG46" i="3"/>
  <c r="AE46" i="3"/>
  <c r="AC46" i="3"/>
  <c r="AB46" i="3"/>
  <c r="Y46" i="3"/>
  <c r="Z46" i="3"/>
  <c r="X46" i="3"/>
  <c r="W46" i="3"/>
  <c r="V46" i="3"/>
  <c r="U46" i="3"/>
  <c r="T46" i="3"/>
  <c r="S46" i="3"/>
  <c r="R46" i="3"/>
  <c r="Q46" i="3"/>
  <c r="P46" i="3"/>
  <c r="N46" i="3"/>
  <c r="O46" i="3"/>
  <c r="I48" i="3"/>
  <c r="M47" i="3" s="1"/>
  <c r="H47" i="3"/>
  <c r="L47" i="3"/>
  <c r="AB47" i="3"/>
  <c r="AD47" i="3"/>
  <c r="AC47" i="3"/>
  <c r="AE47" i="3"/>
  <c r="AF47" i="3"/>
  <c r="AH47" i="3"/>
  <c r="AG47" i="3"/>
  <c r="AI47" i="3"/>
  <c r="AJ47" i="3"/>
  <c r="AA47" i="3" l="1"/>
  <c r="Z47" i="3"/>
  <c r="W47" i="3"/>
  <c r="Y47" i="3"/>
  <c r="V47" i="3"/>
  <c r="X47" i="3"/>
  <c r="U47" i="3"/>
  <c r="S47" i="3"/>
  <c r="T47" i="3"/>
  <c r="P47" i="3"/>
  <c r="R47" i="3"/>
  <c r="N47" i="3"/>
  <c r="J46" i="3"/>
  <c r="Q47" i="3"/>
  <c r="O47" i="3"/>
  <c r="I49" i="3"/>
  <c r="L48" i="3" s="1"/>
  <c r="H48" i="3"/>
  <c r="M48" i="3"/>
  <c r="AD48" i="3"/>
  <c r="AE48" i="3"/>
  <c r="AF48" i="3"/>
  <c r="AG48" i="3"/>
  <c r="AH48" i="3"/>
  <c r="AI48" i="3"/>
  <c r="AJ48" i="3"/>
  <c r="AC48" i="3" l="1"/>
  <c r="AA48" i="3"/>
  <c r="AB48" i="3"/>
  <c r="Z48" i="3"/>
  <c r="Y48" i="3"/>
  <c r="U48" i="3"/>
  <c r="W48" i="3"/>
  <c r="S48" i="3"/>
  <c r="X48" i="3"/>
  <c r="V48" i="3"/>
  <c r="T48" i="3"/>
  <c r="Q48" i="3"/>
  <c r="R48" i="3"/>
  <c r="P48" i="3"/>
  <c r="N48" i="3"/>
  <c r="J47" i="3"/>
  <c r="O48" i="3"/>
  <c r="I50" i="3"/>
  <c r="L49" i="3" s="1"/>
  <c r="H49" i="3"/>
  <c r="M49" i="3"/>
  <c r="N49" i="3"/>
  <c r="O49" i="3"/>
  <c r="P49" i="3"/>
  <c r="Q49" i="3"/>
  <c r="R49" i="3"/>
  <c r="S49" i="3"/>
  <c r="T49" i="3"/>
  <c r="U49" i="3"/>
  <c r="V49" i="3"/>
  <c r="W49" i="3"/>
  <c r="X49" i="3"/>
  <c r="Y49" i="3"/>
  <c r="Z49" i="3"/>
  <c r="AA49" i="3"/>
  <c r="AB49" i="3"/>
  <c r="AC49" i="3"/>
  <c r="AD49" i="3"/>
  <c r="AF49" i="3"/>
  <c r="AE49" i="3"/>
  <c r="AG49" i="3"/>
  <c r="AH49" i="3"/>
  <c r="AI49" i="3"/>
  <c r="AJ49" i="3"/>
  <c r="J48" i="3" l="1"/>
  <c r="J49" i="3"/>
  <c r="I51" i="3"/>
  <c r="M50" i="3" s="1"/>
  <c r="H50" i="3"/>
  <c r="L50" i="3" l="1"/>
  <c r="AJ50" i="3"/>
  <c r="AG50" i="3"/>
  <c r="AE50" i="3"/>
  <c r="AC50" i="3"/>
  <c r="AA50" i="3"/>
  <c r="Z50" i="3"/>
  <c r="X50" i="3"/>
  <c r="V50" i="3"/>
  <c r="R50" i="3"/>
  <c r="AI50" i="3"/>
  <c r="AH50" i="3"/>
  <c r="AF50" i="3"/>
  <c r="AD50" i="3"/>
  <c r="AB50" i="3"/>
  <c r="Y50" i="3"/>
  <c r="W50" i="3"/>
  <c r="T50" i="3"/>
  <c r="P50" i="3"/>
  <c r="U50" i="3"/>
  <c r="S50" i="3"/>
  <c r="Q50" i="3"/>
  <c r="N50" i="3"/>
  <c r="O50" i="3"/>
  <c r="I52" i="3"/>
  <c r="L51" i="3" s="1"/>
  <c r="H51" i="3"/>
  <c r="V51" i="3"/>
  <c r="AF51" i="3"/>
  <c r="AG51" i="3"/>
  <c r="AI51" i="3"/>
  <c r="AJ51" i="3" l="1"/>
  <c r="AH51" i="3"/>
  <c r="AE51" i="3"/>
  <c r="AD51" i="3"/>
  <c r="AC51" i="3"/>
  <c r="AB51" i="3"/>
  <c r="AA51" i="3"/>
  <c r="Y51" i="3"/>
  <c r="Z51" i="3"/>
  <c r="X51" i="3"/>
  <c r="M51" i="3"/>
  <c r="W51" i="3"/>
  <c r="U51" i="3"/>
  <c r="S51" i="3"/>
  <c r="P51" i="3"/>
  <c r="T51" i="3"/>
  <c r="R51" i="3"/>
  <c r="N51" i="3"/>
  <c r="J50" i="3"/>
  <c r="Q51" i="3"/>
  <c r="O51" i="3"/>
  <c r="I53" i="3"/>
  <c r="N52" i="3" s="1"/>
  <c r="H52" i="3"/>
  <c r="L52" i="3"/>
  <c r="S52" i="3"/>
  <c r="U52" i="3"/>
  <c r="V52" i="3"/>
  <c r="W52" i="3"/>
  <c r="X52" i="3"/>
  <c r="Y52" i="3"/>
  <c r="Z52" i="3"/>
  <c r="AB52" i="3"/>
  <c r="AA52" i="3"/>
  <c r="AD52" i="3"/>
  <c r="AC52" i="3"/>
  <c r="AF52" i="3"/>
  <c r="AE52" i="3"/>
  <c r="AG52" i="3"/>
  <c r="AH52" i="3"/>
  <c r="AI52" i="3"/>
  <c r="AJ52" i="3"/>
  <c r="T52" i="3" l="1"/>
  <c r="Q52" i="3"/>
  <c r="R52" i="3"/>
  <c r="O52" i="3"/>
  <c r="P52" i="3"/>
  <c r="J51" i="3"/>
  <c r="I54" i="3"/>
  <c r="L53" i="3" s="1"/>
  <c r="H53" i="3"/>
  <c r="M52" i="3"/>
  <c r="AI53" i="3" l="1"/>
  <c r="M53" i="3"/>
  <c r="AG53" i="3"/>
  <c r="AJ53" i="3"/>
  <c r="AH53" i="3"/>
  <c r="AE53" i="3"/>
  <c r="AF53" i="3"/>
  <c r="AD53" i="3"/>
  <c r="AC53" i="3"/>
  <c r="Z53" i="3"/>
  <c r="AA53" i="3"/>
  <c r="W53" i="3"/>
  <c r="AB53" i="3"/>
  <c r="Y53" i="3"/>
  <c r="V53" i="3"/>
  <c r="J52" i="3"/>
  <c r="X53" i="3"/>
  <c r="S53" i="3"/>
  <c r="U53" i="3"/>
  <c r="Q53" i="3"/>
  <c r="T53" i="3"/>
  <c r="R53" i="3"/>
  <c r="P53" i="3"/>
  <c r="N53" i="3"/>
  <c r="O53" i="3"/>
  <c r="I55" i="3"/>
  <c r="M54" i="3" s="1"/>
  <c r="H54" i="3"/>
  <c r="L54" i="3"/>
  <c r="Q54" i="3"/>
  <c r="R54" i="3"/>
  <c r="S54" i="3"/>
  <c r="T54" i="3"/>
  <c r="U54" i="3"/>
  <c r="V54" i="3"/>
  <c r="W54" i="3"/>
  <c r="X54" i="3"/>
  <c r="Z54" i="3"/>
  <c r="Y54" i="3"/>
  <c r="AA54" i="3"/>
  <c r="AB54" i="3"/>
  <c r="AD54" i="3"/>
  <c r="AC54" i="3"/>
  <c r="AE54" i="3"/>
  <c r="AF54" i="3"/>
  <c r="AH54" i="3"/>
  <c r="AG54" i="3"/>
  <c r="AI54" i="3"/>
  <c r="AJ54" i="3"/>
  <c r="P54" i="3" l="1"/>
  <c r="J53" i="3"/>
  <c r="N54" i="3"/>
  <c r="O54" i="3"/>
  <c r="I56" i="3"/>
  <c r="L55" i="3" s="1"/>
  <c r="H55" i="3"/>
  <c r="M55" i="3"/>
  <c r="AC55" i="3"/>
  <c r="AH55" i="3"/>
  <c r="AI55" i="3"/>
  <c r="AF55" i="3" l="1"/>
  <c r="AA55" i="3"/>
  <c r="AJ55" i="3"/>
  <c r="AG55" i="3"/>
  <c r="AE55" i="3"/>
  <c r="AD55" i="3"/>
  <c r="AB55" i="3"/>
  <c r="X55" i="3"/>
  <c r="Z55" i="3"/>
  <c r="U55" i="3"/>
  <c r="Y55" i="3"/>
  <c r="W55" i="3"/>
  <c r="S55" i="3"/>
  <c r="V55" i="3"/>
  <c r="T55" i="3"/>
  <c r="R55" i="3"/>
  <c r="J54" i="3"/>
  <c r="P55" i="3"/>
  <c r="N55" i="3"/>
  <c r="Q55" i="3"/>
  <c r="O55" i="3"/>
  <c r="I57" i="3"/>
  <c r="N56" i="3" s="1"/>
  <c r="H56" i="3"/>
  <c r="L56" i="3"/>
  <c r="T56" i="3"/>
  <c r="V56" i="3"/>
  <c r="W56" i="3"/>
  <c r="Y56" i="3"/>
  <c r="Z56" i="3"/>
  <c r="AA56" i="3"/>
  <c r="AB56" i="3"/>
  <c r="AC56" i="3"/>
  <c r="AD56" i="3"/>
  <c r="AE56" i="3"/>
  <c r="AF56" i="3"/>
  <c r="AG56" i="3"/>
  <c r="AH56" i="3"/>
  <c r="AI56" i="3"/>
  <c r="AJ56" i="3"/>
  <c r="X56" i="3" l="1"/>
  <c r="U56" i="3"/>
  <c r="S56" i="3"/>
  <c r="R56" i="3"/>
  <c r="Q56" i="3"/>
  <c r="O56" i="3"/>
  <c r="P56" i="3"/>
  <c r="J55" i="3"/>
  <c r="I58" i="3"/>
  <c r="N57" i="3" s="1"/>
  <c r="H57" i="3"/>
  <c r="AG57" i="3"/>
  <c r="M56" i="3"/>
  <c r="M57" i="3" l="1"/>
  <c r="AB57" i="3"/>
  <c r="AI57" i="3"/>
  <c r="AF57" i="3"/>
  <c r="W57" i="3"/>
  <c r="AC57" i="3"/>
  <c r="Y57" i="3"/>
  <c r="U57" i="3"/>
  <c r="AJ57" i="3"/>
  <c r="AH57" i="3"/>
  <c r="AE57" i="3"/>
  <c r="AD57" i="3"/>
  <c r="AA57" i="3"/>
  <c r="Z57" i="3"/>
  <c r="X57" i="3"/>
  <c r="V57" i="3"/>
  <c r="S57" i="3"/>
  <c r="J56" i="3"/>
  <c r="T57" i="3"/>
  <c r="R57" i="3"/>
  <c r="Q57" i="3"/>
  <c r="O57" i="3"/>
  <c r="P57" i="3"/>
  <c r="I59" i="3"/>
  <c r="M58" i="3" s="1"/>
  <c r="H58" i="3"/>
  <c r="L58" i="3"/>
  <c r="S58" i="3"/>
  <c r="T58" i="3"/>
  <c r="U58" i="3"/>
  <c r="V58" i="3"/>
  <c r="W58" i="3"/>
  <c r="X58" i="3"/>
  <c r="Z58" i="3"/>
  <c r="Y58" i="3"/>
  <c r="AB58" i="3"/>
  <c r="AA58" i="3"/>
  <c r="AC58" i="3"/>
  <c r="AD58" i="3"/>
  <c r="AE58" i="3"/>
  <c r="AF58" i="3"/>
  <c r="AH58" i="3"/>
  <c r="AG58" i="3"/>
  <c r="AI58" i="3"/>
  <c r="AJ58" i="3"/>
  <c r="L57" i="3"/>
  <c r="R58" i="3" l="1"/>
  <c r="J57" i="3"/>
  <c r="P58" i="3"/>
  <c r="Q58" i="3"/>
  <c r="N58" i="3"/>
  <c r="O58" i="3"/>
  <c r="I60" i="3"/>
  <c r="M59" i="3" s="1"/>
  <c r="H59" i="3"/>
  <c r="L59" i="3"/>
  <c r="AB59" i="3"/>
  <c r="AF59" i="3"/>
  <c r="AG59" i="3"/>
  <c r="AI59" i="3"/>
  <c r="AD59" i="3" l="1"/>
  <c r="Y59" i="3"/>
  <c r="AJ59" i="3"/>
  <c r="AH59" i="3"/>
  <c r="AE59" i="3"/>
  <c r="AC59" i="3"/>
  <c r="AA59" i="3"/>
  <c r="Z59" i="3"/>
  <c r="W59" i="3"/>
  <c r="X59" i="3"/>
  <c r="T59" i="3"/>
  <c r="V59" i="3"/>
  <c r="R59" i="3"/>
  <c r="U59" i="3"/>
  <c r="S59" i="3"/>
  <c r="P59" i="3"/>
  <c r="N59" i="3"/>
  <c r="J58" i="3"/>
  <c r="Q59" i="3"/>
  <c r="O59" i="3"/>
  <c r="I61" i="3"/>
  <c r="L60" i="3" s="1"/>
  <c r="H60" i="3"/>
  <c r="M60" i="3"/>
  <c r="Z60" i="3"/>
  <c r="AA60" i="3"/>
  <c r="AC60" i="3"/>
  <c r="AF60" i="3"/>
  <c r="AH60" i="3"/>
  <c r="AJ60" i="3"/>
  <c r="W60" i="3" l="1"/>
  <c r="AI60" i="3"/>
  <c r="AG60" i="3"/>
  <c r="AE60" i="3"/>
  <c r="AD60" i="3"/>
  <c r="AB60" i="3"/>
  <c r="Y60" i="3"/>
  <c r="V60" i="3"/>
  <c r="X60" i="3"/>
  <c r="T60" i="3"/>
  <c r="U60" i="3"/>
  <c r="Q60" i="3"/>
  <c r="S60" i="3"/>
  <c r="O60" i="3"/>
  <c r="R60" i="3"/>
  <c r="P60" i="3"/>
  <c r="N60" i="3"/>
  <c r="J59" i="3"/>
  <c r="I62" i="3"/>
  <c r="M61" i="3" s="1"/>
  <c r="H61" i="3"/>
  <c r="AH61" i="3" l="1"/>
  <c r="L61" i="3"/>
  <c r="AJ61" i="3"/>
  <c r="AE61" i="3"/>
  <c r="J60" i="3"/>
  <c r="AI61" i="3"/>
  <c r="AG61" i="3"/>
  <c r="AD61" i="3"/>
  <c r="AF61" i="3"/>
  <c r="AB61" i="3"/>
  <c r="AC61" i="3"/>
  <c r="AA61" i="3"/>
  <c r="Y61" i="3"/>
  <c r="Z61" i="3"/>
  <c r="V61" i="3"/>
  <c r="X61" i="3"/>
  <c r="T61" i="3"/>
  <c r="R61" i="3"/>
  <c r="W61" i="3"/>
  <c r="U61" i="3"/>
  <c r="S61" i="3"/>
  <c r="Q61" i="3"/>
  <c r="O61" i="3"/>
  <c r="P61" i="3"/>
  <c r="N61" i="3"/>
  <c r="I63" i="3"/>
  <c r="L62" i="3" s="1"/>
  <c r="H62" i="3"/>
  <c r="AB62" i="3"/>
  <c r="AH62" i="3"/>
  <c r="T62" i="3" l="1"/>
  <c r="AJ62" i="3"/>
  <c r="AF62" i="3"/>
  <c r="X62" i="3"/>
  <c r="AC62" i="3"/>
  <c r="Y62" i="3"/>
  <c r="V62" i="3"/>
  <c r="M62" i="3"/>
  <c r="AI62" i="3"/>
  <c r="AG62" i="3"/>
  <c r="AE62" i="3"/>
  <c r="AD62" i="3"/>
  <c r="AA62" i="3"/>
  <c r="Z62" i="3"/>
  <c r="W62" i="3"/>
  <c r="U62" i="3"/>
  <c r="R62" i="3"/>
  <c r="S62" i="3"/>
  <c r="Q62" i="3"/>
  <c r="P62" i="3"/>
  <c r="N62" i="3"/>
  <c r="J61" i="3"/>
  <c r="O62" i="3"/>
  <c r="I64" i="3"/>
  <c r="M63" i="3" s="1"/>
  <c r="H63" i="3"/>
  <c r="L63" i="3"/>
  <c r="T63" i="3"/>
  <c r="U63" i="3"/>
  <c r="V63" i="3"/>
  <c r="X63" i="3"/>
  <c r="W63" i="3"/>
  <c r="Z63" i="3"/>
  <c r="Y63" i="3"/>
  <c r="AA63" i="3"/>
  <c r="AB63" i="3"/>
  <c r="AC63" i="3"/>
  <c r="AD63" i="3"/>
  <c r="AE63" i="3"/>
  <c r="AF63" i="3"/>
  <c r="AG63" i="3"/>
  <c r="AH63" i="3"/>
  <c r="AI63" i="3"/>
  <c r="AJ63" i="3"/>
  <c r="S63" i="3" l="1"/>
  <c r="R63" i="3"/>
  <c r="P63" i="3"/>
  <c r="Q63" i="3"/>
  <c r="N63" i="3"/>
  <c r="J62" i="3"/>
  <c r="O63" i="3"/>
  <c r="H64" i="3"/>
  <c r="I65" i="3"/>
  <c r="H65" i="3" s="1"/>
  <c r="J63" i="3" l="1"/>
  <c r="AI64" i="3"/>
  <c r="AJ64" i="3"/>
  <c r="AH64" i="3"/>
  <c r="AD64" i="3"/>
  <c r="AF64" i="3"/>
  <c r="Y64" i="3"/>
  <c r="T64" i="3"/>
  <c r="AG64" i="3"/>
  <c r="AE64" i="3"/>
  <c r="AC64" i="3"/>
  <c r="AA64" i="3"/>
  <c r="W64" i="3"/>
  <c r="P64" i="3"/>
  <c r="AB64" i="3"/>
  <c r="Z64" i="3"/>
  <c r="X64" i="3"/>
  <c r="V64" i="3"/>
  <c r="R64" i="3"/>
  <c r="N64" i="3"/>
  <c r="U64" i="3"/>
  <c r="S64" i="3"/>
  <c r="Q64" i="3"/>
  <c r="O64" i="3"/>
  <c r="M64" i="3"/>
  <c r="L64" i="3"/>
  <c r="J64" i="3" l="1"/>
</calcChain>
</file>

<file path=xl/sharedStrings.xml><?xml version="1.0" encoding="utf-8"?>
<sst xmlns="http://schemas.openxmlformats.org/spreadsheetml/2006/main" count="1218" uniqueCount="479">
  <si>
    <t>s</t>
  </si>
  <si>
    <t>u</t>
  </si>
  <si>
    <t>d</t>
  </si>
  <si>
    <t>t</t>
  </si>
  <si>
    <t>Ex</t>
  </si>
  <si>
    <t>r</t>
  </si>
  <si>
    <t>INPUTS:</t>
  </si>
  <si>
    <t xml:space="preserve">Stock price (P) </t>
  </si>
  <si>
    <t>Exercise price (EX)</t>
  </si>
  <si>
    <t>Maturity in years (t)</t>
  </si>
  <si>
    <t>h</t>
  </si>
  <si>
    <t>p</t>
  </si>
  <si>
    <t>Step</t>
  </si>
  <si>
    <t>Call Value</t>
  </si>
  <si>
    <t>Put Value</t>
  </si>
  <si>
    <t>VALUES:</t>
  </si>
  <si>
    <t>A</t>
  </si>
  <si>
    <t>stock price and exercise price were $400, the option had 6 months to run, and the annual</t>
  </si>
  <si>
    <t>interest rate was 3.5%.  We initially assumed that the stock price would either rise by</t>
  </si>
  <si>
    <t>25% or fall by 20% over the 6 months.  You can get more realistic estimates of the option's</t>
  </si>
  <si>
    <t xml:space="preserve">value by breaking the 6-month period into a number of subperiods, in each of which the </t>
  </si>
  <si>
    <t>stock price will either rise or fall by a particular fraction.</t>
  </si>
  <si>
    <t>Is this rate compounded annually (A) or continuously (C)?</t>
  </si>
  <si>
    <t>Number of binomial steps (max = 26)</t>
  </si>
  <si>
    <t>The next worksheet (Stock) shows the future stock price if Apple stock rises by 25% or falls by</t>
  </si>
  <si>
    <t xml:space="preserve">u = </t>
  </si>
  <si>
    <t>Future Stock Prices</t>
  </si>
  <si>
    <t>Future call prices</t>
  </si>
  <si>
    <t>20%.  The worksheet Call shows the corresponding call values and Put shows the put values.</t>
  </si>
  <si>
    <t>Check that you can calculate the option values using either by a replicating portfolio or by</t>
  </si>
  <si>
    <t xml:space="preserve">the risk-neutral method.  Then increase the number of binomial steps.  See how the equivalent </t>
  </si>
  <si>
    <t>stock price and option values evolve.</t>
  </si>
  <si>
    <t xml:space="preserve">up and down changes decline as you chop the period into sub-periods.  Look also at how the </t>
  </si>
  <si>
    <t>Value</t>
  </si>
  <si>
    <t>Stock</t>
  </si>
  <si>
    <t>Price</t>
  </si>
  <si>
    <t xml:space="preserve">          Call</t>
  </si>
  <si>
    <t xml:space="preserve">       Put</t>
  </si>
  <si>
    <t>│</t>
  </si>
  <si>
    <t>d = 1/u =</t>
  </si>
  <si>
    <t xml:space="preserve">Risk-neutral probability of rise = (r - d)/(u - d) = </t>
  </si>
  <si>
    <t>coeff</t>
  </si>
  <si>
    <t>steps</t>
  </si>
  <si>
    <t>return</t>
  </si>
  <si>
    <t>prob</t>
  </si>
  <si>
    <t>return -1</t>
  </si>
  <si>
    <t>return %</t>
  </si>
  <si>
    <t xml:space="preserve">return -1 </t>
  </si>
  <si>
    <t xml:space="preserve">prob of lowest </t>
  </si>
  <si>
    <t>prob of return</t>
  </si>
  <si>
    <t>period to maturity</t>
  </si>
  <si>
    <t>chop the option period into a larger number of steps.  Notice also how the distribution of possible stock prices becomes</t>
  </si>
  <si>
    <t>more continuous and realistic as the number of steps is increased.</t>
  </si>
  <si>
    <t>Risk-neutral probabilities of possible stock price changes over the</t>
  </si>
  <si>
    <t>+</t>
  </si>
  <si>
    <t>=</t>
  </si>
  <si>
    <t>There is a probability of p that option value at the end of the period will be</t>
  </si>
  <si>
    <t>and a probability of (1 - p) that option value will be</t>
  </si>
  <si>
    <t>/</t>
  </si>
  <si>
    <t xml:space="preserve">Therefore p = </t>
  </si>
  <si>
    <t>(1 - p)  x</t>
  </si>
  <si>
    <t>The simplest way to calculate the option value is to use the risk-neutral method.  This involves 3 steps.</t>
  </si>
  <si>
    <t>Pretend that investors are risk-neutral and expect to earn only the risk-free interest rate.  Then</t>
  </si>
  <si>
    <t>calculate the probability (p) of a stock price rise in this risk-neutral world.  The formula for this is</t>
  </si>
  <si>
    <t>u is the upside change.  In the present case:</t>
  </si>
  <si>
    <t xml:space="preserve">You can check that if there is a probability of </t>
  </si>
  <si>
    <t>that the stock price will rise by u, and</t>
  </si>
  <si>
    <t>a probability of</t>
  </si>
  <si>
    <t>that it will move down by d, then the expected return per sub-period</t>
  </si>
  <si>
    <t>is equal to the interest rate.</t>
  </si>
  <si>
    <t>Note that the value of p is the same at each step and does not therefore need to be recalculated.</t>
  </si>
  <si>
    <t>Step 1 Calculate the risk-neutral probability</t>
  </si>
  <si>
    <t>Step 2  Calculate the expected option value at the end of the sub-period</t>
  </si>
  <si>
    <t>Therefore  expected value = p x</t>
  </si>
  <si>
    <t>that number in the green box:</t>
  </si>
  <si>
    <r>
      <t xml:space="preserve">Step 3  Discount at the risk-free rate to find the option value at the </t>
    </r>
    <r>
      <rPr>
        <b/>
        <i/>
        <sz val="10"/>
        <rFont val="Arial"/>
        <family val="2"/>
      </rPr>
      <t>start</t>
    </r>
    <r>
      <rPr>
        <b/>
        <sz val="10"/>
        <rFont val="Arial"/>
        <family val="2"/>
      </rPr>
      <t xml:space="preserve"> of the sub-period</t>
    </r>
  </si>
  <si>
    <t>Discounting the future value at the risk-free interest rate gives a value at the start of the period of:</t>
  </si>
  <si>
    <t xml:space="preserve">   </t>
  </si>
  <si>
    <t xml:space="preserve">  </t>
  </si>
  <si>
    <t>Beside each option value there is a number.  If you want to see how the option value is calculated, type</t>
  </si>
  <si>
    <t>Code</t>
  </si>
  <si>
    <t>Cell</t>
  </si>
  <si>
    <t>Lookup table</t>
  </si>
  <si>
    <t>end-period codes</t>
  </si>
  <si>
    <t>cells</t>
  </si>
  <si>
    <t>p =  (r - d)/(u - d), where r is the interest rate per sub-period, d is the downside change, and</t>
  </si>
  <si>
    <t>d67</t>
  </si>
  <si>
    <t>f65</t>
  </si>
  <si>
    <t>f66</t>
  </si>
  <si>
    <t>h63</t>
  </si>
  <si>
    <t>h67</t>
  </si>
  <si>
    <t>h71</t>
  </si>
  <si>
    <t>j61</t>
  </si>
  <si>
    <t>j65</t>
  </si>
  <si>
    <t>j67</t>
  </si>
  <si>
    <t>j71</t>
  </si>
  <si>
    <t>l59</t>
  </si>
  <si>
    <t>n57</t>
  </si>
  <si>
    <t>p55</t>
  </si>
  <si>
    <t>r53</t>
  </si>
  <si>
    <t>t51</t>
  </si>
  <si>
    <t>v49</t>
  </si>
  <si>
    <t>v53</t>
  </si>
  <si>
    <t>v57</t>
  </si>
  <si>
    <t>v61</t>
  </si>
  <si>
    <t>v65</t>
  </si>
  <si>
    <t>v69</t>
  </si>
  <si>
    <t>v73</t>
  </si>
  <si>
    <t>v77</t>
  </si>
  <si>
    <t>v81</t>
  </si>
  <si>
    <t>v85</t>
  </si>
  <si>
    <t>x47</t>
  </si>
  <si>
    <t>x51</t>
  </si>
  <si>
    <t>x55</t>
  </si>
  <si>
    <t>x59</t>
  </si>
  <si>
    <t>x63</t>
  </si>
  <si>
    <t>x67</t>
  </si>
  <si>
    <t>x71</t>
  </si>
  <si>
    <t>x75</t>
  </si>
  <si>
    <t>x79</t>
  </si>
  <si>
    <t>x83</t>
  </si>
  <si>
    <t>x87</t>
  </si>
  <si>
    <t>z45</t>
  </si>
  <si>
    <t>z49</t>
  </si>
  <si>
    <t>z53</t>
  </si>
  <si>
    <t>z57</t>
  </si>
  <si>
    <t>z61</t>
  </si>
  <si>
    <t>z65</t>
  </si>
  <si>
    <t>z69</t>
  </si>
  <si>
    <t>z73</t>
  </si>
  <si>
    <t>z77</t>
  </si>
  <si>
    <t>z81</t>
  </si>
  <si>
    <t>z85</t>
  </si>
  <si>
    <t>z89</t>
  </si>
  <si>
    <t>ab43</t>
  </si>
  <si>
    <t>ab47</t>
  </si>
  <si>
    <t>ab51</t>
  </si>
  <si>
    <t>ab55</t>
  </si>
  <si>
    <t>ab59</t>
  </si>
  <si>
    <t>ab63</t>
  </si>
  <si>
    <t>ab67</t>
  </si>
  <si>
    <t>ab71</t>
  </si>
  <si>
    <t>ab75</t>
  </si>
  <si>
    <t>ab79</t>
  </si>
  <si>
    <t>ab83</t>
  </si>
  <si>
    <t>ab87</t>
  </si>
  <si>
    <t>ab91</t>
  </si>
  <si>
    <t>ad41</t>
  </si>
  <si>
    <t>ad45</t>
  </si>
  <si>
    <t>ad49</t>
  </si>
  <si>
    <t>ad53</t>
  </si>
  <si>
    <t>ad57</t>
  </si>
  <si>
    <t>ad61</t>
  </si>
  <si>
    <t>ad65</t>
  </si>
  <si>
    <t>ad69</t>
  </si>
  <si>
    <t>ad73</t>
  </si>
  <si>
    <t>ad77</t>
  </si>
  <si>
    <t>ad81</t>
  </si>
  <si>
    <t>ad85</t>
  </si>
  <si>
    <t>ad89</t>
  </si>
  <si>
    <t>ad93</t>
  </si>
  <si>
    <t>af39</t>
  </si>
  <si>
    <t>af43</t>
  </si>
  <si>
    <t>af47</t>
  </si>
  <si>
    <t>af51</t>
  </si>
  <si>
    <t>af55</t>
  </si>
  <si>
    <t>af59</t>
  </si>
  <si>
    <t>af63</t>
  </si>
  <si>
    <t>af67</t>
  </si>
  <si>
    <t>af71</t>
  </si>
  <si>
    <t>af75</t>
  </si>
  <si>
    <t>af79</t>
  </si>
  <si>
    <t>af83</t>
  </si>
  <si>
    <t>af87</t>
  </si>
  <si>
    <t>af91</t>
  </si>
  <si>
    <t>af95</t>
  </si>
  <si>
    <t>ah37</t>
  </si>
  <si>
    <t>ah41</t>
  </si>
  <si>
    <t>ah45</t>
  </si>
  <si>
    <t>ah49</t>
  </si>
  <si>
    <t>ah53</t>
  </si>
  <si>
    <t>ah57</t>
  </si>
  <si>
    <t>ah61</t>
  </si>
  <si>
    <t>ah65</t>
  </si>
  <si>
    <t>ah69</t>
  </si>
  <si>
    <t>ah73</t>
  </si>
  <si>
    <t>ah77</t>
  </si>
  <si>
    <t>ah81</t>
  </si>
  <si>
    <t>ah85</t>
  </si>
  <si>
    <t>ah89</t>
  </si>
  <si>
    <t>ah93</t>
  </si>
  <si>
    <t>ah97</t>
  </si>
  <si>
    <t>aj35</t>
  </si>
  <si>
    <t>aj39</t>
  </si>
  <si>
    <t>aj43</t>
  </si>
  <si>
    <t>aj47</t>
  </si>
  <si>
    <t>aj51</t>
  </si>
  <si>
    <t>aj55</t>
  </si>
  <si>
    <t>aj59</t>
  </si>
  <si>
    <t>aj63</t>
  </si>
  <si>
    <t>aj67</t>
  </si>
  <si>
    <t>aj71</t>
  </si>
  <si>
    <t>aj75</t>
  </si>
  <si>
    <t>aj79</t>
  </si>
  <si>
    <t>aj83</t>
  </si>
  <si>
    <t>aj87</t>
  </si>
  <si>
    <t>aj91</t>
  </si>
  <si>
    <t>aj95</t>
  </si>
  <si>
    <t>aj99</t>
  </si>
  <si>
    <t>al33</t>
  </si>
  <si>
    <t>al37</t>
  </si>
  <si>
    <t>al41</t>
  </si>
  <si>
    <t>al45</t>
  </si>
  <si>
    <t>al49</t>
  </si>
  <si>
    <t>al53</t>
  </si>
  <si>
    <t>al57</t>
  </si>
  <si>
    <t>al61</t>
  </si>
  <si>
    <t>al65</t>
  </si>
  <si>
    <t>al69</t>
  </si>
  <si>
    <t>al73</t>
  </si>
  <si>
    <t>al77</t>
  </si>
  <si>
    <t>al81</t>
  </si>
  <si>
    <t>al85</t>
  </si>
  <si>
    <t>al89</t>
  </si>
  <si>
    <t>al93</t>
  </si>
  <si>
    <t>al97</t>
  </si>
  <si>
    <t>al101</t>
  </si>
  <si>
    <t>an31</t>
  </si>
  <si>
    <t>an35</t>
  </si>
  <si>
    <t>an39</t>
  </si>
  <si>
    <t>an43</t>
  </si>
  <si>
    <t>an47</t>
  </si>
  <si>
    <t>an51</t>
  </si>
  <si>
    <t>an55</t>
  </si>
  <si>
    <t>an59</t>
  </si>
  <si>
    <t>an63</t>
  </si>
  <si>
    <t>an67</t>
  </si>
  <si>
    <t>an71</t>
  </si>
  <si>
    <t>an75</t>
  </si>
  <si>
    <t>an79</t>
  </si>
  <si>
    <t>an83</t>
  </si>
  <si>
    <t>an87</t>
  </si>
  <si>
    <t>an91</t>
  </si>
  <si>
    <t>an95</t>
  </si>
  <si>
    <t>an99</t>
  </si>
  <si>
    <t>an103</t>
  </si>
  <si>
    <t>ap29</t>
  </si>
  <si>
    <t>ap33</t>
  </si>
  <si>
    <t>ap37</t>
  </si>
  <si>
    <t>ap41</t>
  </si>
  <si>
    <t>ap45</t>
  </si>
  <si>
    <t>ap49</t>
  </si>
  <si>
    <t>ap53</t>
  </si>
  <si>
    <t>ap57</t>
  </si>
  <si>
    <t>ap61</t>
  </si>
  <si>
    <t>ap65</t>
  </si>
  <si>
    <t>ap69</t>
  </si>
  <si>
    <t>ap73</t>
  </si>
  <si>
    <t>ap77</t>
  </si>
  <si>
    <t>ap81</t>
  </si>
  <si>
    <t>ap85</t>
  </si>
  <si>
    <t>ap89</t>
  </si>
  <si>
    <t>ap93</t>
  </si>
  <si>
    <t>ap97</t>
  </si>
  <si>
    <t>ap101</t>
  </si>
  <si>
    <t>ap105</t>
  </si>
  <si>
    <t>ar27</t>
  </si>
  <si>
    <t>ar31</t>
  </si>
  <si>
    <t>ar35</t>
  </si>
  <si>
    <t>ar39</t>
  </si>
  <si>
    <t>ar43</t>
  </si>
  <si>
    <t>ar47</t>
  </si>
  <si>
    <t>ar51</t>
  </si>
  <si>
    <t>ar55</t>
  </si>
  <si>
    <t>ar59</t>
  </si>
  <si>
    <t>ar63</t>
  </si>
  <si>
    <t>ar67</t>
  </si>
  <si>
    <t>ar71</t>
  </si>
  <si>
    <t>ar75</t>
  </si>
  <si>
    <t>ar79</t>
  </si>
  <si>
    <t>ar83</t>
  </si>
  <si>
    <t>ar87</t>
  </si>
  <si>
    <t>ar91</t>
  </si>
  <si>
    <t>ar95</t>
  </si>
  <si>
    <t>ar99</t>
  </si>
  <si>
    <t>ar103</t>
  </si>
  <si>
    <t>ar107</t>
  </si>
  <si>
    <t>at25</t>
  </si>
  <si>
    <t>at29</t>
  </si>
  <si>
    <t>at33</t>
  </si>
  <si>
    <t>at37</t>
  </si>
  <si>
    <t>at41</t>
  </si>
  <si>
    <t>at45</t>
  </si>
  <si>
    <t>at49</t>
  </si>
  <si>
    <t>at53</t>
  </si>
  <si>
    <t>at57</t>
  </si>
  <si>
    <t>at61</t>
  </si>
  <si>
    <t>at65</t>
  </si>
  <si>
    <t>at69</t>
  </si>
  <si>
    <t>at73</t>
  </si>
  <si>
    <t>at77</t>
  </si>
  <si>
    <t>at81</t>
  </si>
  <si>
    <t>at85</t>
  </si>
  <si>
    <t>at89</t>
  </si>
  <si>
    <t>at93</t>
  </si>
  <si>
    <t>at97</t>
  </si>
  <si>
    <t>at101</t>
  </si>
  <si>
    <t>at105</t>
  </si>
  <si>
    <t>at109</t>
  </si>
  <si>
    <t>av23</t>
  </si>
  <si>
    <t>av27</t>
  </si>
  <si>
    <t>av31</t>
  </si>
  <si>
    <t>av35</t>
  </si>
  <si>
    <t>av39</t>
  </si>
  <si>
    <t>av43</t>
  </si>
  <si>
    <t>av47</t>
  </si>
  <si>
    <t>av51</t>
  </si>
  <si>
    <t>av55</t>
  </si>
  <si>
    <t>av59</t>
  </si>
  <si>
    <t>av63</t>
  </si>
  <si>
    <t>av67</t>
  </si>
  <si>
    <t>av71</t>
  </si>
  <si>
    <t>av75</t>
  </si>
  <si>
    <t>av79</t>
  </si>
  <si>
    <t>av83</t>
  </si>
  <si>
    <t>av87</t>
  </si>
  <si>
    <t>av91</t>
  </si>
  <si>
    <t>av95</t>
  </si>
  <si>
    <t>av99</t>
  </si>
  <si>
    <t>av103</t>
  </si>
  <si>
    <t>av107</t>
  </si>
  <si>
    <t>av111</t>
  </si>
  <si>
    <t>ax21</t>
  </si>
  <si>
    <t>ax25</t>
  </si>
  <si>
    <t>ax29</t>
  </si>
  <si>
    <t>ax33</t>
  </si>
  <si>
    <t>ax37</t>
  </si>
  <si>
    <t>ax41</t>
  </si>
  <si>
    <t>ax45</t>
  </si>
  <si>
    <t>ax49</t>
  </si>
  <si>
    <t>ax53</t>
  </si>
  <si>
    <t>ax57</t>
  </si>
  <si>
    <t>ax61</t>
  </si>
  <si>
    <t>ax65</t>
  </si>
  <si>
    <t>ax69</t>
  </si>
  <si>
    <t>ax73</t>
  </si>
  <si>
    <t>ax77</t>
  </si>
  <si>
    <t>ax81</t>
  </si>
  <si>
    <t>ax85</t>
  </si>
  <si>
    <t>ax89</t>
  </si>
  <si>
    <t>ax93</t>
  </si>
  <si>
    <t>ax97</t>
  </si>
  <si>
    <t>ax101</t>
  </si>
  <si>
    <t>ax105</t>
  </si>
  <si>
    <t>ax109</t>
  </si>
  <si>
    <t>ax113</t>
  </si>
  <si>
    <t>az19</t>
  </si>
  <si>
    <t>az23</t>
  </si>
  <si>
    <t>az27</t>
  </si>
  <si>
    <t>az31</t>
  </si>
  <si>
    <t>az35</t>
  </si>
  <si>
    <t>az39</t>
  </si>
  <si>
    <t>az43</t>
  </si>
  <si>
    <t>az47</t>
  </si>
  <si>
    <t>az51</t>
  </si>
  <si>
    <t>az55</t>
  </si>
  <si>
    <t>az59</t>
  </si>
  <si>
    <t>az63</t>
  </si>
  <si>
    <t>az67</t>
  </si>
  <si>
    <t>az71</t>
  </si>
  <si>
    <t>az75</t>
  </si>
  <si>
    <t>az79</t>
  </si>
  <si>
    <t>az83</t>
  </si>
  <si>
    <t>az87</t>
  </si>
  <si>
    <t>az91</t>
  </si>
  <si>
    <t>az95</t>
  </si>
  <si>
    <t>az99</t>
  </si>
  <si>
    <t>az103</t>
  </si>
  <si>
    <t>az107</t>
  </si>
  <si>
    <t>az111</t>
  </si>
  <si>
    <t>az115</t>
  </si>
  <si>
    <t>bb17</t>
  </si>
  <si>
    <t>bb21</t>
  </si>
  <si>
    <t>bb25</t>
  </si>
  <si>
    <t>bb29</t>
  </si>
  <si>
    <t>bb33</t>
  </si>
  <si>
    <t>bb37</t>
  </si>
  <si>
    <t>bb41</t>
  </si>
  <si>
    <t>bb45</t>
  </si>
  <si>
    <t>bb49</t>
  </si>
  <si>
    <t>bb53</t>
  </si>
  <si>
    <t>bb57</t>
  </si>
  <si>
    <t>bb61</t>
  </si>
  <si>
    <t>bb65</t>
  </si>
  <si>
    <t>bb69</t>
  </si>
  <si>
    <t>bb73</t>
  </si>
  <si>
    <t>bb77</t>
  </si>
  <si>
    <t>bb81</t>
  </si>
  <si>
    <t>bb85</t>
  </si>
  <si>
    <t>bb89</t>
  </si>
  <si>
    <t>bb93</t>
  </si>
  <si>
    <t>bb97</t>
  </si>
  <si>
    <t>bb101</t>
  </si>
  <si>
    <t>bb105</t>
  </si>
  <si>
    <t>bb109</t>
  </si>
  <si>
    <t>bb113</t>
  </si>
  <si>
    <t>bb117</t>
  </si>
  <si>
    <t>l63</t>
  </si>
  <si>
    <t>l67</t>
  </si>
  <si>
    <t>l71</t>
  </si>
  <si>
    <t>l75</t>
  </si>
  <si>
    <t>n61</t>
  </si>
  <si>
    <t>n65</t>
  </si>
  <si>
    <t>n69</t>
  </si>
  <si>
    <t>n73</t>
  </si>
  <si>
    <t>n77</t>
  </si>
  <si>
    <t>p59</t>
  </si>
  <si>
    <t>p63</t>
  </si>
  <si>
    <t>p67</t>
  </si>
  <si>
    <t>p71</t>
  </si>
  <si>
    <t>p75</t>
  </si>
  <si>
    <t>p79</t>
  </si>
  <si>
    <t>r57</t>
  </si>
  <si>
    <t>r61</t>
  </si>
  <si>
    <t>r65</t>
  </si>
  <si>
    <t>r69</t>
  </si>
  <si>
    <t>r73</t>
  </si>
  <si>
    <t>r75</t>
  </si>
  <si>
    <t>r77</t>
  </si>
  <si>
    <t>r81</t>
  </si>
  <si>
    <t>t55</t>
  </si>
  <si>
    <t>t59</t>
  </si>
  <si>
    <t>t63</t>
  </si>
  <si>
    <t>t67</t>
  </si>
  <si>
    <t>t71</t>
  </si>
  <si>
    <t>t75</t>
  </si>
  <si>
    <t>t79</t>
  </si>
  <si>
    <t>t83</t>
  </si>
  <si>
    <t>Scroll down to see the value of the call for each possible stock price.  Choose a point in the tree and check that you can calculate</t>
  </si>
  <si>
    <t xml:space="preserve">Scroll down to see how the stock price evolves if it rise by the multiple u in each period or falls by the multiple d (d = 1/u).  </t>
  </si>
  <si>
    <t>Do you want to enter u or corresponding standard deviaton (s)?</t>
  </si>
  <si>
    <t>Step as proportion of year (h)</t>
  </si>
  <si>
    <t>the value of the option at that point.  Scroll down further to get help.</t>
  </si>
  <si>
    <t>bd15</t>
  </si>
  <si>
    <t>bd19</t>
  </si>
  <si>
    <t>bd23</t>
  </si>
  <si>
    <t>bd27</t>
  </si>
  <si>
    <t>bd31</t>
  </si>
  <si>
    <t>bd35</t>
  </si>
  <si>
    <t>bd39</t>
  </si>
  <si>
    <t>bd43</t>
  </si>
  <si>
    <t>bd47</t>
  </si>
  <si>
    <t>bd51</t>
  </si>
  <si>
    <t>bd55</t>
  </si>
  <si>
    <t>bd59</t>
  </si>
  <si>
    <t>bd63</t>
  </si>
  <si>
    <t>bd67</t>
  </si>
  <si>
    <t>bd71</t>
  </si>
  <si>
    <t>bd75</t>
  </si>
  <si>
    <t>bd79</t>
  </si>
  <si>
    <t>bd83</t>
  </si>
  <si>
    <t>bd87</t>
  </si>
  <si>
    <t>bd91</t>
  </si>
  <si>
    <t>bd95</t>
  </si>
  <si>
    <t>bd99</t>
  </si>
  <si>
    <t>bd103</t>
  </si>
  <si>
    <t>bd107</t>
  </si>
  <si>
    <t>bd111</t>
  </si>
  <si>
    <t>bd115</t>
  </si>
  <si>
    <t>bd119</t>
  </si>
  <si>
    <t xml:space="preserve">You will need to scroll further down  to see the whole tree.  Notice how the moves in the stock price get smaller as you </t>
  </si>
  <si>
    <t>The Binomial Model (Section 21-2)</t>
  </si>
  <si>
    <t xml:space="preserve">In Section 21-2 we used the binomial model to value a call option on Apple stock.  The </t>
  </si>
  <si>
    <t xml:space="preserve">Try first valuing the Apple option with the 1-step binomial.  In Cell C32 enter 1 for the number of </t>
  </si>
  <si>
    <t xml:space="preserve">binomial steps.  In Cell C34 enter s to show that you wish to enter the annual percentage </t>
  </si>
  <si>
    <t xml:space="preserve">is the annual percentage standard deviation of the stock. Alternatively, you could enter u </t>
  </si>
  <si>
    <t>standard deviation for Apple and then in Cell C35 enter a standard deviation of 31.56, which</t>
  </si>
  <si>
    <t>in Cell C34 and then enter the up move (1.25) in Cell C35.</t>
  </si>
  <si>
    <t>Interest rate, percent (r)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</si>
</sst>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00"/>
    <numFmt numFmtId="165" formatCode="0.00000"/>
    <numFmt numFmtId="166" formatCode="0.0"/>
    <numFmt numFmtId="167" formatCode="0.0000"/>
    <numFmt numFmtId="168" formatCode="0.000"/>
  </numFmts>
  <fonts count="2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sz val="12"/>
      <color indexed="8"/>
      <name val="Times New Roman"/>
      <family val="1"/>
    </font>
    <font>
      <sz val="10"/>
      <color indexed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7"/>
      <name val="Arial"/>
      <family val="2"/>
    </font>
    <font>
      <b/>
      <i/>
      <sz val="10"/>
      <name val="Arial"/>
      <family val="2"/>
    </font>
    <font>
      <sz val="10"/>
      <color theme="0" tint="-0.249977111117893"/>
      <name val="Arial"/>
      <family val="2"/>
    </font>
    <font>
      <sz val="10"/>
      <color theme="9" tint="0.39997558519241921"/>
      <name val="Arial"/>
      <family val="2"/>
    </font>
    <font>
      <sz val="10"/>
      <color theme="0"/>
      <name val="Arial"/>
      <family val="2"/>
    </font>
    <font>
      <b/>
      <sz val="10"/>
      <color theme="9" tint="0.39997558519241921"/>
      <name val="Arial"/>
      <family val="2"/>
    </font>
    <font>
      <b/>
      <sz val="10"/>
      <color theme="0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0">
    <xf numFmtId="0" fontId="0" fillId="0" borderId="0" xfId="0"/>
    <xf numFmtId="2" fontId="0" fillId="0" borderId="0" xfId="0" applyNumberFormat="1"/>
    <xf numFmtId="2" fontId="0" fillId="2" borderId="0" xfId="0" applyNumberFormat="1" applyFill="1"/>
    <xf numFmtId="0" fontId="3" fillId="2" borderId="0" xfId="0" applyFont="1" applyFill="1"/>
    <xf numFmtId="0" fontId="0" fillId="2" borderId="0" xfId="0" applyFill="1"/>
    <xf numFmtId="2" fontId="3" fillId="2" borderId="0" xfId="0" applyNumberFormat="1" applyFont="1" applyFill="1"/>
    <xf numFmtId="0" fontId="8" fillId="2" borderId="0" xfId="0" applyFont="1" applyFill="1"/>
    <xf numFmtId="0" fontId="7" fillId="2" borderId="0" xfId="0" applyFont="1" applyFill="1"/>
    <xf numFmtId="2" fontId="3" fillId="2" borderId="0" xfId="0" applyNumberFormat="1" applyFont="1" applyFill="1" applyAlignment="1">
      <alignment horizontal="right"/>
    </xf>
    <xf numFmtId="2" fontId="3" fillId="2" borderId="0" xfId="0" applyNumberFormat="1" applyFont="1" applyFill="1" applyAlignment="1">
      <alignment horizontal="left"/>
    </xf>
    <xf numFmtId="0" fontId="9" fillId="0" borderId="0" xfId="0" applyFont="1"/>
    <xf numFmtId="0" fontId="1" fillId="0" borderId="0" xfId="0" applyFont="1"/>
    <xf numFmtId="2" fontId="1" fillId="0" borderId="0" xfId="0" applyNumberFormat="1" applyFont="1"/>
    <xf numFmtId="2" fontId="0" fillId="2" borderId="0" xfId="0" applyNumberFormat="1" applyFill="1" applyAlignment="1">
      <alignment textRotation="155"/>
    </xf>
    <xf numFmtId="2" fontId="3" fillId="2" borderId="0" xfId="0" applyNumberFormat="1" applyFont="1" applyFill="1" applyAlignment="1">
      <alignment horizontal="right" textRotation="65"/>
    </xf>
    <xf numFmtId="0" fontId="0" fillId="2" borderId="1" xfId="0" applyFill="1" applyBorder="1"/>
    <xf numFmtId="0" fontId="0" fillId="2" borderId="2" xfId="0" applyFill="1" applyBorder="1"/>
    <xf numFmtId="2" fontId="0" fillId="2" borderId="2" xfId="0" applyNumberFormat="1" applyFill="1" applyBorder="1"/>
    <xf numFmtId="2" fontId="0" fillId="2" borderId="3" xfId="0" applyNumberFormat="1" applyFill="1" applyBorder="1"/>
    <xf numFmtId="0" fontId="0" fillId="2" borderId="4" xfId="0" applyFill="1" applyBorder="1"/>
    <xf numFmtId="0" fontId="0" fillId="2" borderId="0" xfId="0" applyFill="1" applyBorder="1"/>
    <xf numFmtId="2" fontId="0" fillId="2" borderId="0" xfId="0" applyNumberFormat="1" applyFill="1" applyBorder="1"/>
    <xf numFmtId="2" fontId="0" fillId="2" borderId="5" xfId="0" applyNumberFormat="1" applyFill="1" applyBorder="1"/>
    <xf numFmtId="2" fontId="0" fillId="2" borderId="4" xfId="0" applyNumberFormat="1" applyFill="1" applyBorder="1"/>
    <xf numFmtId="2" fontId="0" fillId="2" borderId="0" xfId="0" applyNumberFormat="1" applyFill="1" applyBorder="1" applyAlignment="1">
      <alignment horizontal="left"/>
    </xf>
    <xf numFmtId="0" fontId="6" fillId="2" borderId="0" xfId="0" applyFont="1" applyFill="1" applyBorder="1" applyAlignment="1">
      <alignment horizontal="center" textRotation="155"/>
    </xf>
    <xf numFmtId="1" fontId="2" fillId="2" borderId="0" xfId="0" applyNumberFormat="1" applyFont="1" applyFill="1" applyBorder="1" applyAlignment="1">
      <alignment horizontal="center" textRotation="65"/>
    </xf>
    <xf numFmtId="164" fontId="0" fillId="2" borderId="0" xfId="0" applyNumberFormat="1" applyFill="1" applyBorder="1"/>
    <xf numFmtId="0" fontId="5" fillId="2" borderId="0" xfId="0" applyFont="1" applyFill="1" applyBorder="1"/>
    <xf numFmtId="165" fontId="0" fillId="2" borderId="0" xfId="0" applyNumberFormat="1" applyFill="1" applyBorder="1"/>
    <xf numFmtId="0" fontId="0" fillId="2" borderId="0" xfId="0" applyFill="1" applyBorder="1" applyAlignment="1">
      <alignment horizontal="left"/>
    </xf>
    <xf numFmtId="0" fontId="0" fillId="2" borderId="0" xfId="0" applyFill="1" applyBorder="1" applyAlignment="1">
      <alignment horizontal="center"/>
    </xf>
    <xf numFmtId="2" fontId="0" fillId="2" borderId="6" xfId="0" applyNumberFormat="1" applyFill="1" applyBorder="1"/>
    <xf numFmtId="0" fontId="0" fillId="2" borderId="7" xfId="0" applyFill="1" applyBorder="1"/>
    <xf numFmtId="0" fontId="0" fillId="2" borderId="7" xfId="0" applyFill="1" applyBorder="1" applyAlignment="1">
      <alignment horizontal="center"/>
    </xf>
    <xf numFmtId="164" fontId="0" fillId="2" borderId="7" xfId="0" applyNumberFormat="1" applyFill="1" applyBorder="1" applyAlignment="1">
      <alignment horizontal="left"/>
    </xf>
    <xf numFmtId="2" fontId="0" fillId="2" borderId="7" xfId="0" applyNumberFormat="1" applyFill="1" applyBorder="1"/>
    <xf numFmtId="2" fontId="0" fillId="2" borderId="8" xfId="0" applyNumberFormat="1" applyFill="1" applyBorder="1"/>
    <xf numFmtId="0" fontId="3" fillId="2" borderId="0" xfId="0" applyFont="1" applyFill="1" applyBorder="1"/>
    <xf numFmtId="2" fontId="3" fillId="2" borderId="0" xfId="0" applyNumberFormat="1" applyFont="1" applyFill="1" applyBorder="1"/>
    <xf numFmtId="2" fontId="14" fillId="2" borderId="0" xfId="0" applyNumberFormat="1" applyFont="1" applyFill="1" applyBorder="1"/>
    <xf numFmtId="0" fontId="3" fillId="4" borderId="1" xfId="0" applyFont="1" applyFill="1" applyBorder="1"/>
    <xf numFmtId="0" fontId="0" fillId="4" borderId="4" xfId="0" applyFill="1" applyBorder="1"/>
    <xf numFmtId="0" fontId="0" fillId="4" borderId="5" xfId="0" applyFill="1" applyBorder="1"/>
    <xf numFmtId="0" fontId="3" fillId="4" borderId="4" xfId="0" applyFont="1" applyFill="1" applyBorder="1"/>
    <xf numFmtId="2" fontId="0" fillId="4" borderId="5" xfId="0" applyNumberFormat="1" applyFill="1" applyBorder="1"/>
    <xf numFmtId="0" fontId="0" fillId="7" borderId="0" xfId="0" applyFill="1"/>
    <xf numFmtId="0" fontId="0" fillId="7" borderId="0" xfId="0" applyNumberFormat="1" applyFill="1"/>
    <xf numFmtId="0" fontId="4" fillId="7" borderId="0" xfId="0" applyFont="1" applyFill="1"/>
    <xf numFmtId="2" fontId="0" fillId="2" borderId="9" xfId="0" applyNumberFormat="1" applyFill="1" applyBorder="1"/>
    <xf numFmtId="0" fontId="6" fillId="4" borderId="2" xfId="0" applyFont="1" applyFill="1" applyBorder="1"/>
    <xf numFmtId="0" fontId="4" fillId="4" borderId="2" xfId="0" applyFont="1" applyFill="1" applyBorder="1"/>
    <xf numFmtId="0" fontId="4" fillId="4" borderId="3" xfId="0" applyFont="1" applyFill="1" applyBorder="1"/>
    <xf numFmtId="0" fontId="4" fillId="4" borderId="4" xfId="0" applyFont="1" applyFill="1" applyBorder="1"/>
    <xf numFmtId="0" fontId="4" fillId="4" borderId="0" xfId="0" applyFont="1" applyFill="1" applyBorder="1"/>
    <xf numFmtId="0" fontId="4" fillId="4" borderId="5" xfId="0" applyFont="1" applyFill="1" applyBorder="1"/>
    <xf numFmtId="0" fontId="6" fillId="4" borderId="4" xfId="0" applyFont="1" applyFill="1" applyBorder="1" applyAlignment="1"/>
    <xf numFmtId="0" fontId="0" fillId="4" borderId="0" xfId="0" applyFill="1" applyBorder="1" applyAlignment="1"/>
    <xf numFmtId="0" fontId="3" fillId="4" borderId="0" xfId="0" applyFont="1" applyFill="1" applyBorder="1"/>
    <xf numFmtId="0" fontId="6" fillId="4" borderId="0" xfId="0" applyFont="1" applyFill="1" applyBorder="1"/>
    <xf numFmtId="0" fontId="6" fillId="4" borderId="5" xfId="0" applyFont="1" applyFill="1" applyBorder="1"/>
    <xf numFmtId="2" fontId="3" fillId="4" borderId="4" xfId="0" applyNumberFormat="1" applyFont="1" applyFill="1" applyBorder="1"/>
    <xf numFmtId="2" fontId="3" fillId="4" borderId="0" xfId="0" applyNumberFormat="1" applyFont="1" applyFill="1" applyBorder="1"/>
    <xf numFmtId="2" fontId="0" fillId="4" borderId="0" xfId="0" applyNumberFormat="1" applyFill="1" applyBorder="1"/>
    <xf numFmtId="2" fontId="3" fillId="2" borderId="4" xfId="0" applyNumberFormat="1" applyFont="1" applyFill="1" applyBorder="1"/>
    <xf numFmtId="0" fontId="3" fillId="2" borderId="0" xfId="0" applyFont="1" applyFill="1" applyBorder="1" applyAlignment="1">
      <alignment horizontal="center" textRotation="65"/>
    </xf>
    <xf numFmtId="2" fontId="3" fillId="2" borderId="0" xfId="0" applyNumberFormat="1" applyFon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1" fontId="2" fillId="2" borderId="0" xfId="0" applyNumberFormat="1" applyFont="1" applyFill="1" applyBorder="1"/>
    <xf numFmtId="1" fontId="2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textRotation="90"/>
    </xf>
    <xf numFmtId="2" fontId="0" fillId="7" borderId="0" xfId="0" applyNumberFormat="1" applyFill="1"/>
    <xf numFmtId="0" fontId="6" fillId="7" borderId="0" xfId="0" applyFont="1" applyFill="1"/>
    <xf numFmtId="0" fontId="0" fillId="4" borderId="1" xfId="0" applyFill="1" applyBorder="1"/>
    <xf numFmtId="0" fontId="3" fillId="4" borderId="2" xfId="0" applyFont="1" applyFill="1" applyBorder="1"/>
    <xf numFmtId="0" fontId="0" fillId="4" borderId="2" xfId="0" applyFill="1" applyBorder="1"/>
    <xf numFmtId="0" fontId="0" fillId="4" borderId="0" xfId="0" applyFill="1" applyBorder="1"/>
    <xf numFmtId="0" fontId="6" fillId="4" borderId="5" xfId="0" applyFont="1" applyFill="1" applyBorder="1" applyAlignment="1">
      <alignment horizontal="center" textRotation="155"/>
    </xf>
    <xf numFmtId="0" fontId="6" fillId="4" borderId="0" xfId="0" applyFont="1" applyFill="1" applyBorder="1" applyAlignment="1"/>
    <xf numFmtId="1" fontId="2" fillId="4" borderId="0" xfId="0" applyNumberFormat="1" applyFont="1" applyFill="1" applyBorder="1"/>
    <xf numFmtId="0" fontId="0" fillId="2" borderId="5" xfId="0" applyFill="1" applyBorder="1"/>
    <xf numFmtId="1" fontId="2" fillId="2" borderId="0" xfId="0" applyNumberFormat="1" applyFont="1" applyFill="1" applyBorder="1" applyAlignment="1">
      <alignment horizontal="center" textRotation="155"/>
    </xf>
    <xf numFmtId="1" fontId="13" fillId="2" borderId="0" xfId="0" applyNumberFormat="1" applyFont="1" applyFill="1" applyBorder="1"/>
    <xf numFmtId="3" fontId="2" fillId="2" borderId="0" xfId="0" applyNumberFormat="1" applyFont="1" applyFill="1" applyBorder="1"/>
    <xf numFmtId="3" fontId="2" fillId="2" borderId="0" xfId="0" applyNumberFormat="1" applyFont="1" applyFill="1" applyBorder="1" applyAlignment="1">
      <alignment horizontal="center" textRotation="155"/>
    </xf>
    <xf numFmtId="3" fontId="2" fillId="2" borderId="0" xfId="0" applyNumberFormat="1" applyFont="1" applyFill="1" applyBorder="1" applyAlignment="1">
      <alignment horizontal="center" textRotation="65"/>
    </xf>
    <xf numFmtId="2" fontId="12" fillId="2" borderId="0" xfId="0" applyNumberFormat="1" applyFont="1" applyFill="1" applyBorder="1"/>
    <xf numFmtId="1" fontId="10" fillId="2" borderId="0" xfId="0" applyNumberFormat="1" applyFont="1" applyFill="1" applyBorder="1" applyAlignment="1">
      <alignment horizontal="center" textRotation="65"/>
    </xf>
    <xf numFmtId="1" fontId="10" fillId="2" borderId="0" xfId="0" applyNumberFormat="1" applyFont="1" applyFill="1" applyBorder="1"/>
    <xf numFmtId="1" fontId="10" fillId="2" borderId="0" xfId="0" applyNumberFormat="1" applyFont="1" applyFill="1" applyBorder="1" applyAlignment="1">
      <alignment horizontal="center" textRotation="155"/>
    </xf>
    <xf numFmtId="1" fontId="12" fillId="2" borderId="0" xfId="0" applyNumberFormat="1" applyFont="1" applyFill="1" applyBorder="1"/>
    <xf numFmtId="1" fontId="12" fillId="2" borderId="0" xfId="0" applyNumberFormat="1" applyFont="1" applyFill="1" applyBorder="1" applyAlignment="1">
      <alignment horizontal="center" textRotation="155"/>
    </xf>
    <xf numFmtId="1" fontId="12" fillId="2" borderId="0" xfId="0" applyNumberFormat="1" applyFont="1" applyFill="1" applyBorder="1" applyAlignment="1">
      <alignment horizontal="center" textRotation="65"/>
    </xf>
    <xf numFmtId="1" fontId="11" fillId="2" borderId="0" xfId="0" applyNumberFormat="1" applyFont="1" applyFill="1" applyBorder="1" applyAlignment="1">
      <alignment horizontal="center" textRotation="65"/>
    </xf>
    <xf numFmtId="1" fontId="13" fillId="2" borderId="0" xfId="0" applyNumberFormat="1" applyFont="1" applyFill="1" applyBorder="1" applyAlignment="1">
      <alignment horizontal="center" textRotation="65"/>
    </xf>
    <xf numFmtId="1" fontId="13" fillId="2" borderId="0" xfId="0" applyNumberFormat="1" applyFont="1" applyFill="1" applyBorder="1" applyAlignment="1">
      <alignment horizontal="center" textRotation="155"/>
    </xf>
    <xf numFmtId="166" fontId="2" fillId="2" borderId="0" xfId="0" applyNumberFormat="1" applyFont="1" applyFill="1" applyBorder="1"/>
    <xf numFmtId="0" fontId="12" fillId="2" borderId="0" xfId="0" applyFont="1" applyFill="1" applyBorder="1" applyAlignment="1">
      <alignment horizontal="center" textRotation="155"/>
    </xf>
    <xf numFmtId="2" fontId="3" fillId="2" borderId="0" xfId="0" applyNumberFormat="1" applyFont="1" applyFill="1" applyBorder="1" applyAlignment="1">
      <alignment horizontal="left"/>
    </xf>
    <xf numFmtId="2" fontId="3" fillId="2" borderId="0" xfId="0" applyNumberFormat="1" applyFont="1" applyFill="1" applyBorder="1" applyAlignment="1">
      <alignment horizontal="right"/>
    </xf>
    <xf numFmtId="0" fontId="13" fillId="2" borderId="0" xfId="0" applyFont="1" applyFill="1" applyBorder="1" applyAlignment="1">
      <alignment horizontal="center" textRotation="155"/>
    </xf>
    <xf numFmtId="2" fontId="0" fillId="2" borderId="0" xfId="0" applyNumberFormat="1" applyFill="1" applyBorder="1" applyAlignment="1">
      <alignment horizontal="right"/>
    </xf>
    <xf numFmtId="0" fontId="6" fillId="2" borderId="0" xfId="0" applyFont="1" applyFill="1" applyBorder="1" applyAlignment="1">
      <alignment horizontal="center" textRotation="65"/>
    </xf>
    <xf numFmtId="0" fontId="13" fillId="2" borderId="0" xfId="0" applyFont="1" applyFill="1" applyBorder="1" applyAlignment="1">
      <alignment horizontal="center" textRotation="65"/>
    </xf>
    <xf numFmtId="1" fontId="0" fillId="2" borderId="0" xfId="0" applyNumberFormat="1" applyFill="1" applyBorder="1"/>
    <xf numFmtId="2" fontId="13" fillId="2" borderId="0" xfId="0" applyNumberFormat="1" applyFont="1" applyFill="1" applyBorder="1"/>
    <xf numFmtId="0" fontId="0" fillId="2" borderId="6" xfId="0" applyFill="1" applyBorder="1"/>
    <xf numFmtId="1" fontId="2" fillId="2" borderId="7" xfId="0" applyNumberFormat="1" applyFont="1" applyFill="1" applyBorder="1"/>
    <xf numFmtId="1" fontId="2" fillId="7" borderId="0" xfId="0" applyNumberFormat="1" applyFont="1" applyFill="1"/>
    <xf numFmtId="0" fontId="1" fillId="2" borderId="0" xfId="0" applyFont="1" applyFill="1" applyBorder="1"/>
    <xf numFmtId="167" fontId="0" fillId="2" borderId="0" xfId="0" applyNumberFormat="1" applyFill="1" applyBorder="1"/>
    <xf numFmtId="167" fontId="0" fillId="2" borderId="0" xfId="0" applyNumberFormat="1" applyFill="1" applyBorder="1" applyAlignment="1">
      <alignment horizontal="left"/>
    </xf>
    <xf numFmtId="2" fontId="0" fillId="8" borderId="5" xfId="0" applyNumberFormat="1" applyFill="1" applyBorder="1" applyAlignment="1" applyProtection="1">
      <alignment horizontal="center"/>
    </xf>
    <xf numFmtId="2" fontId="0" fillId="7" borderId="0" xfId="0" applyNumberFormat="1" applyFill="1" applyAlignment="1">
      <alignment textRotation="155"/>
    </xf>
    <xf numFmtId="2" fontId="3" fillId="7" borderId="0" xfId="0" applyNumberFormat="1" applyFont="1" applyFill="1" applyAlignment="1">
      <alignment horizontal="right"/>
    </xf>
    <xf numFmtId="2" fontId="3" fillId="7" borderId="0" xfId="0" applyNumberFormat="1" applyFont="1" applyFill="1" applyAlignment="1">
      <alignment horizontal="right" textRotation="65"/>
    </xf>
    <xf numFmtId="2" fontId="0" fillId="8" borderId="5" xfId="0" applyNumberFormat="1" applyFill="1" applyBorder="1"/>
    <xf numFmtId="0" fontId="3" fillId="8" borderId="1" xfId="0" applyFont="1" applyFill="1" applyBorder="1"/>
    <xf numFmtId="0" fontId="0" fillId="8" borderId="3" xfId="0" applyFill="1" applyBorder="1"/>
    <xf numFmtId="0" fontId="0" fillId="8" borderId="4" xfId="0" applyFill="1" applyBorder="1"/>
    <xf numFmtId="0" fontId="0" fillId="8" borderId="5" xfId="0" applyFill="1" applyBorder="1"/>
    <xf numFmtId="0" fontId="3" fillId="8" borderId="4" xfId="0" applyFont="1" applyFill="1" applyBorder="1"/>
    <xf numFmtId="2" fontId="0" fillId="8" borderId="5" xfId="0" applyNumberFormat="1" applyFill="1" applyBorder="1" applyAlignment="1">
      <alignment horizontal="center"/>
    </xf>
    <xf numFmtId="0" fontId="1" fillId="8" borderId="4" xfId="0" applyFont="1" applyFill="1" applyBorder="1"/>
    <xf numFmtId="0" fontId="0" fillId="8" borderId="6" xfId="0" applyFill="1" applyBorder="1"/>
    <xf numFmtId="168" fontId="0" fillId="8" borderId="5" xfId="0" applyNumberFormat="1" applyFill="1" applyBorder="1" applyAlignment="1">
      <alignment horizontal="center"/>
    </xf>
    <xf numFmtId="2" fontId="0" fillId="5" borderId="5" xfId="0" applyNumberFormat="1" applyFill="1" applyBorder="1" applyAlignment="1">
      <alignment horizontal="center"/>
    </xf>
    <xf numFmtId="2" fontId="0" fillId="5" borderId="8" xfId="0" applyNumberFormat="1" applyFill="1" applyBorder="1" applyAlignment="1">
      <alignment horizontal="center"/>
    </xf>
    <xf numFmtId="0" fontId="15" fillId="7" borderId="0" xfId="0" applyFont="1" applyFill="1"/>
    <xf numFmtId="2" fontId="15" fillId="7" borderId="0" xfId="0" applyNumberFormat="1" applyFont="1" applyFill="1"/>
    <xf numFmtId="0" fontId="1" fillId="7" borderId="0" xfId="0" applyFont="1" applyFill="1"/>
    <xf numFmtId="0" fontId="16" fillId="4" borderId="2" xfId="0" applyFont="1" applyFill="1" applyBorder="1"/>
    <xf numFmtId="0" fontId="16" fillId="4" borderId="0" xfId="0" applyFont="1" applyFill="1" applyBorder="1"/>
    <xf numFmtId="0" fontId="1" fillId="4" borderId="2" xfId="0" applyFont="1" applyFill="1" applyBorder="1"/>
    <xf numFmtId="0" fontId="1" fillId="4" borderId="0" xfId="0" applyFont="1" applyFill="1" applyBorder="1"/>
    <xf numFmtId="0" fontId="15" fillId="4" borderId="2" xfId="0" applyFont="1" applyFill="1" applyBorder="1"/>
    <xf numFmtId="0" fontId="15" fillId="4" borderId="0" xfId="0" applyFont="1" applyFill="1" applyBorder="1"/>
    <xf numFmtId="2" fontId="0" fillId="6" borderId="5" xfId="0" applyNumberFormat="1" applyFill="1" applyBorder="1" applyAlignment="1" applyProtection="1">
      <alignment horizontal="center"/>
      <protection locked="0"/>
    </xf>
    <xf numFmtId="1" fontId="0" fillId="6" borderId="5" xfId="0" applyNumberFormat="1" applyFill="1" applyBorder="1" applyAlignment="1" applyProtection="1">
      <alignment horizontal="center"/>
      <protection locked="0"/>
    </xf>
    <xf numFmtId="2" fontId="1" fillId="6" borderId="5" xfId="0" applyNumberFormat="1" applyFont="1" applyFill="1" applyBorder="1" applyAlignment="1" applyProtection="1">
      <alignment horizontal="center"/>
      <protection locked="0"/>
    </xf>
    <xf numFmtId="0" fontId="17" fillId="0" borderId="0" xfId="0" applyFont="1"/>
    <xf numFmtId="1" fontId="17" fillId="0" borderId="0" xfId="0" applyNumberFormat="1" applyFont="1"/>
    <xf numFmtId="2" fontId="17" fillId="0" borderId="0" xfId="0" applyNumberFormat="1" applyFont="1" applyFill="1"/>
    <xf numFmtId="2" fontId="17" fillId="0" borderId="0" xfId="0" applyNumberFormat="1" applyFont="1"/>
    <xf numFmtId="0" fontId="17" fillId="0" borderId="0" xfId="0" applyFont="1" applyFill="1"/>
    <xf numFmtId="0" fontId="0" fillId="3" borderId="0" xfId="0" applyFill="1" applyBorder="1" applyAlignment="1" applyProtection="1">
      <alignment horizontal="center"/>
      <protection locked="0"/>
    </xf>
    <xf numFmtId="0" fontId="18" fillId="4" borderId="2" xfId="0" applyFont="1" applyFill="1" applyBorder="1" applyAlignment="1">
      <alignment horizontal="center" textRotation="65"/>
    </xf>
    <xf numFmtId="0" fontId="16" fillId="4" borderId="3" xfId="0" applyFont="1" applyFill="1" applyBorder="1" applyAlignment="1">
      <alignment horizontal="center" textRotation="155"/>
    </xf>
    <xf numFmtId="0" fontId="15" fillId="7" borderId="0" xfId="0" applyFont="1" applyFill="1" applyAlignment="1">
      <alignment horizontal="center" textRotation="155"/>
    </xf>
    <xf numFmtId="0" fontId="19" fillId="7" borderId="0" xfId="0" applyFont="1" applyFill="1" applyAlignment="1">
      <alignment horizontal="center" textRotation="65"/>
    </xf>
    <xf numFmtId="0" fontId="15" fillId="7" borderId="0" xfId="0" applyFont="1" applyFill="1" applyAlignment="1">
      <alignment horizontal="center" textRotation="90"/>
    </xf>
    <xf numFmtId="0" fontId="0" fillId="6" borderId="5" xfId="0" applyFill="1" applyBorder="1" applyAlignment="1" applyProtection="1">
      <alignment horizontal="center"/>
      <protection locked="0"/>
    </xf>
    <xf numFmtId="168" fontId="0" fillId="8" borderId="5" xfId="0" applyNumberFormat="1" applyFill="1" applyBorder="1"/>
    <xf numFmtId="0" fontId="0" fillId="8" borderId="4" xfId="0" applyNumberFormat="1" applyFill="1" applyBorder="1" applyAlignment="1"/>
    <xf numFmtId="0" fontId="0" fillId="8" borderId="5" xfId="0" applyFill="1" applyBorder="1" applyAlignment="1"/>
    <xf numFmtId="0" fontId="1" fillId="8" borderId="4" xfId="0" applyNumberFormat="1" applyFont="1" applyFill="1" applyBorder="1" applyAlignment="1"/>
    <xf numFmtId="0" fontId="1" fillId="4" borderId="4" xfId="0" applyFont="1" applyFill="1" applyBorder="1" applyAlignment="1"/>
    <xf numFmtId="0" fontId="0" fillId="4" borderId="0" xfId="0" applyFill="1" applyBorder="1" applyAlignment="1"/>
    <xf numFmtId="0" fontId="6" fillId="4" borderId="4" xfId="0" applyFont="1" applyFill="1" applyBorder="1" applyAlignment="1"/>
    <xf numFmtId="0" fontId="1" fillId="4" borderId="0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795366795366795"/>
          <c:y val="0.12576687116564417"/>
          <c:w val="0.78764478764478763"/>
          <c:h val="0.6226993865030674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'.'!$H$5:$H$65</c:f>
              <c:numCache>
                <c:formatCode>0</c:formatCode>
                <c:ptCount val="61"/>
                <c:pt idx="0">
                  <c:v>-67.951249281927772</c:v>
                </c:pt>
                <c:pt idx="1">
                  <c:v>-63.284984411291653</c:v>
                </c:pt>
                <c:pt idx="2">
                  <c:v>-58.618719540655526</c:v>
                </c:pt>
                <c:pt idx="3">
                  <c:v>-53.952454670019392</c:v>
                </c:pt>
                <c:pt idx="4">
                  <c:v>-49.286189799383273</c:v>
                </c:pt>
                <c:pt idx="5">
                  <c:v>-44.619924928747146</c:v>
                </c:pt>
                <c:pt idx="6">
                  <c:v>-39.953660058111019</c:v>
                </c:pt>
                <c:pt idx="7">
                  <c:v>-35.287395187474885</c:v>
                </c:pt>
                <c:pt idx="8">
                  <c:v>-30.621130316838759</c:v>
                </c:pt>
                <c:pt idx="9">
                  <c:v>-25.954865446202632</c:v>
                </c:pt>
                <c:pt idx="10">
                  <c:v>-21.288600575566505</c:v>
                </c:pt>
                <c:pt idx="11">
                  <c:v>-16.622335704930379</c:v>
                </c:pt>
                <c:pt idx="12">
                  <c:v>-11.956070834294252</c:v>
                </c:pt>
                <c:pt idx="13">
                  <c:v>-7.2898059636581252</c:v>
                </c:pt>
                <c:pt idx="14">
                  <c:v>-2.6235410930219984</c:v>
                </c:pt>
                <c:pt idx="15">
                  <c:v>2.0427237776141141</c:v>
                </c:pt>
                <c:pt idx="16">
                  <c:v>6.7089886482502408</c:v>
                </c:pt>
                <c:pt idx="17">
                  <c:v>11.375253518886382</c:v>
                </c:pt>
                <c:pt idx="18">
                  <c:v>16.041518389522508</c:v>
                </c:pt>
                <c:pt idx="19">
                  <c:v>20.707783260158635</c:v>
                </c:pt>
                <c:pt idx="20">
                  <c:v>25.374048130794762</c:v>
                </c:pt>
                <c:pt idx="21">
                  <c:v>30.040313001430889</c:v>
                </c:pt>
                <c:pt idx="22">
                  <c:v>34.706577872067015</c:v>
                </c:pt>
                <c:pt idx="23">
                  <c:v>39.372842742703142</c:v>
                </c:pt>
                <c:pt idx="24">
                  <c:v>44.039107613339269</c:v>
                </c:pt>
                <c:pt idx="25">
                  <c:v>48.705372483975395</c:v>
                </c:pt>
                <c:pt idx="26">
                  <c:v>53.371637354611522</c:v>
                </c:pt>
                <c:pt idx="27">
                  <c:v>58.037902225247649</c:v>
                </c:pt>
                <c:pt idx="28">
                  <c:v>62.704167095883776</c:v>
                </c:pt>
                <c:pt idx="29">
                  <c:v>67.370431966519902</c:v>
                </c:pt>
                <c:pt idx="30">
                  <c:v>72.036696837156029</c:v>
                </c:pt>
                <c:pt idx="31">
                  <c:v>76.702961707792156</c:v>
                </c:pt>
                <c:pt idx="32">
                  <c:v>81.369226578428282</c:v>
                </c:pt>
                <c:pt idx="33">
                  <c:v>86.035491449064409</c:v>
                </c:pt>
                <c:pt idx="34">
                  <c:v>90.701756319700536</c:v>
                </c:pt>
                <c:pt idx="35">
                  <c:v>95.368021190336663</c:v>
                </c:pt>
                <c:pt idx="36">
                  <c:v>100.03428606097279</c:v>
                </c:pt>
                <c:pt idx="37">
                  <c:v>104.70055093160889</c:v>
                </c:pt>
                <c:pt idx="38">
                  <c:v>109.36681580224499</c:v>
                </c:pt>
                <c:pt idx="39">
                  <c:v>114.03308067288108</c:v>
                </c:pt>
                <c:pt idx="40">
                  <c:v>118.69934554351721</c:v>
                </c:pt>
                <c:pt idx="41">
                  <c:v>123.36561041415331</c:v>
                </c:pt>
                <c:pt idx="42">
                  <c:v>128.03187528478941</c:v>
                </c:pt>
                <c:pt idx="43">
                  <c:v>132.69814015542551</c:v>
                </c:pt>
                <c:pt idx="44">
                  <c:v>137.36440502606163</c:v>
                </c:pt>
                <c:pt idx="45">
                  <c:v>142.03066989669773</c:v>
                </c:pt>
                <c:pt idx="46">
                  <c:v>146.69693476733383</c:v>
                </c:pt>
                <c:pt idx="47">
                  <c:v>151.36319963796993</c:v>
                </c:pt>
                <c:pt idx="48">
                  <c:v>156.02946450860605</c:v>
                </c:pt>
                <c:pt idx="49">
                  <c:v>160.69572937924215</c:v>
                </c:pt>
                <c:pt idx="50">
                  <c:v>165.36199424987825</c:v>
                </c:pt>
                <c:pt idx="51">
                  <c:v>170.02825912051435</c:v>
                </c:pt>
                <c:pt idx="52">
                  <c:v>174.69452399115045</c:v>
                </c:pt>
                <c:pt idx="53">
                  <c:v>179.36078886178655</c:v>
                </c:pt>
                <c:pt idx="54">
                  <c:v>184.0270537324227</c:v>
                </c:pt>
                <c:pt idx="55">
                  <c:v>188.6933186030588</c:v>
                </c:pt>
                <c:pt idx="56">
                  <c:v>193.3595834736949</c:v>
                </c:pt>
                <c:pt idx="57">
                  <c:v>198.025848344331</c:v>
                </c:pt>
                <c:pt idx="58">
                  <c:v>202.69211321496709</c:v>
                </c:pt>
                <c:pt idx="59">
                  <c:v>207.35837808560319</c:v>
                </c:pt>
                <c:pt idx="60">
                  <c:v>212.02464295623929</c:v>
                </c:pt>
              </c:numCache>
            </c:numRef>
          </c:cat>
          <c:val>
            <c:numRef>
              <c:f>'.'!$J$5:$J$65</c:f>
              <c:numCache>
                <c:formatCode>0.00</c:formatCode>
                <c:ptCount val="61"/>
                <c:pt idx="0">
                  <c:v>4.0233135223388685E-5</c:v>
                </c:pt>
                <c:pt idx="1">
                  <c:v>4.8428773880004894E-4</c:v>
                </c:pt>
                <c:pt idx="2">
                  <c:v>2.6151537895202644E-2</c:v>
                </c:pt>
                <c:pt idx="3">
                  <c:v>9.8019838333129911E-2</c:v>
                </c:pt>
                <c:pt idx="4">
                  <c:v>0.3430694341659547</c:v>
                </c:pt>
                <c:pt idx="5">
                  <c:v>0.98019838333129905</c:v>
                </c:pt>
                <c:pt idx="6">
                  <c:v>2.3279711604118352</c:v>
                </c:pt>
                <c:pt idx="7">
                  <c:v>0</c:v>
                </c:pt>
                <c:pt idx="8">
                  <c:v>4.6559423208236703</c:v>
                </c:pt>
                <c:pt idx="9">
                  <c:v>0</c:v>
                </c:pt>
                <c:pt idx="10">
                  <c:v>0</c:v>
                </c:pt>
                <c:pt idx="11">
                  <c:v>11.512875556945804</c:v>
                </c:pt>
                <c:pt idx="12">
                  <c:v>14.391094446182255</c:v>
                </c:pt>
                <c:pt idx="13">
                  <c:v>0</c:v>
                </c:pt>
                <c:pt idx="14">
                  <c:v>15.498101711273197</c:v>
                </c:pt>
                <c:pt idx="15">
                  <c:v>0</c:v>
                </c:pt>
                <c:pt idx="16">
                  <c:v>14.391094446182255</c:v>
                </c:pt>
                <c:pt idx="17">
                  <c:v>0</c:v>
                </c:pt>
                <c:pt idx="18">
                  <c:v>11.512875556945804</c:v>
                </c:pt>
                <c:pt idx="19">
                  <c:v>0</c:v>
                </c:pt>
                <c:pt idx="20">
                  <c:v>7.9151019454002398</c:v>
                </c:pt>
                <c:pt idx="21">
                  <c:v>0</c:v>
                </c:pt>
                <c:pt idx="22">
                  <c:v>0</c:v>
                </c:pt>
                <c:pt idx="23">
                  <c:v>4.6559423208236703</c:v>
                </c:pt>
                <c:pt idx="24">
                  <c:v>0</c:v>
                </c:pt>
                <c:pt idx="25">
                  <c:v>0</c:v>
                </c:pt>
                <c:pt idx="26">
                  <c:v>2.3279711604118352</c:v>
                </c:pt>
                <c:pt idx="27">
                  <c:v>0</c:v>
                </c:pt>
                <c:pt idx="28">
                  <c:v>0</c:v>
                </c:pt>
                <c:pt idx="29">
                  <c:v>0.98019838333129905</c:v>
                </c:pt>
                <c:pt idx="30">
                  <c:v>0</c:v>
                </c:pt>
                <c:pt idx="31">
                  <c:v>0</c:v>
                </c:pt>
                <c:pt idx="32">
                  <c:v>0.3430694341659547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9.8019838333129911E-2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2.2277235984802253E-2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3.8743019104003915E-3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4.8428773880004894E-4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3.874301910400392E-5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1.4901161193847656E-6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3741056"/>
        <c:axId val="223742976"/>
      </c:barChart>
      <c:catAx>
        <c:axId val="223741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price changes over period to maturity %</a:t>
                </a:r>
              </a:p>
            </c:rich>
          </c:tx>
          <c:layout>
            <c:manualLayout>
              <c:xMode val="edge"/>
              <c:yMode val="edge"/>
              <c:x val="0.28957528957528955"/>
              <c:y val="0.883435582822085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3742976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2237429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Probability %</a:t>
                </a:r>
              </a:p>
            </c:rich>
          </c:tx>
          <c:layout>
            <c:manualLayout>
              <c:xMode val="edge"/>
              <c:yMode val="edge"/>
              <c:x val="2.8957528957528959E-2"/>
              <c:y val="0.29447852760736198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374105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CC99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266700</xdr:colOff>
      <xdr:row>63</xdr:row>
      <xdr:rowOff>9525</xdr:rowOff>
    </xdr:from>
    <xdr:to>
      <xdr:col>2</xdr:col>
      <xdr:colOff>276225</xdr:colOff>
      <xdr:row>64</xdr:row>
      <xdr:rowOff>0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 flipH="1">
          <a:off x="876300" y="10706100"/>
          <a:ext cx="9525" cy="1524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314325</xdr:colOff>
      <xdr:row>13</xdr:row>
      <xdr:rowOff>152400</xdr:rowOff>
    </xdr:from>
    <xdr:to>
      <xdr:col>18</xdr:col>
      <xdr:colOff>114300</xdr:colOff>
      <xdr:row>32</xdr:row>
      <xdr:rowOff>9525</xdr:rowOff>
    </xdr:to>
    <xdr:graphicFrame macro="">
      <xdr:nvGraphicFramePr>
        <xdr:cNvPr id="1033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600075</xdr:colOff>
      <xdr:row>64</xdr:row>
      <xdr:rowOff>9525</xdr:rowOff>
    </xdr:from>
    <xdr:to>
      <xdr:col>3</xdr:col>
      <xdr:colOff>600075</xdr:colOff>
      <xdr:row>65</xdr:row>
      <xdr:rowOff>85725</xdr:rowOff>
    </xdr:to>
    <xdr:sp macro="" textlink="">
      <xdr:nvSpPr>
        <xdr:cNvPr id="3074" name="Line 2"/>
        <xdr:cNvSpPr>
          <a:spLocks noChangeShapeType="1"/>
        </xdr:cNvSpPr>
      </xdr:nvSpPr>
      <xdr:spPr bwMode="auto">
        <a:xfrm>
          <a:off x="1819275" y="10467975"/>
          <a:ext cx="0" cy="238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381000</xdr:colOff>
      <xdr:row>63</xdr:row>
      <xdr:rowOff>19050</xdr:rowOff>
    </xdr:from>
    <xdr:to>
      <xdr:col>1</xdr:col>
      <xdr:colOff>390525</xdr:colOff>
      <xdr:row>65</xdr:row>
      <xdr:rowOff>9525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 flipH="1">
          <a:off x="990600" y="10696575"/>
          <a:ext cx="9525" cy="3333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55"/>
  <sheetViews>
    <sheetView showGridLines="0" tabSelected="1" workbookViewId="0"/>
  </sheetViews>
  <sheetFormatPr defaultRowHeight="12.75" x14ac:dyDescent="0.2"/>
  <cols>
    <col min="1" max="1" width="28.28515625" style="46" customWidth="1"/>
    <col min="2" max="2" width="66.7109375" style="46" customWidth="1"/>
    <col min="3" max="3" width="14.5703125" style="46" customWidth="1"/>
    <col min="4" max="16384" width="9.140625" style="46"/>
  </cols>
  <sheetData>
    <row r="3" spans="2:6" x14ac:dyDescent="0.2">
      <c r="B3" s="117" t="s">
        <v>471</v>
      </c>
      <c r="C3" s="118"/>
    </row>
    <row r="4" spans="2:6" x14ac:dyDescent="0.2">
      <c r="B4" s="153" t="s">
        <v>472</v>
      </c>
      <c r="C4" s="154"/>
      <c r="F4" s="47"/>
    </row>
    <row r="5" spans="2:6" x14ac:dyDescent="0.2">
      <c r="B5" s="153" t="s">
        <v>17</v>
      </c>
      <c r="C5" s="154"/>
      <c r="F5" s="47"/>
    </row>
    <row r="6" spans="2:6" x14ac:dyDescent="0.2">
      <c r="B6" s="153" t="s">
        <v>18</v>
      </c>
      <c r="C6" s="154"/>
      <c r="F6" s="47"/>
    </row>
    <row r="7" spans="2:6" x14ac:dyDescent="0.2">
      <c r="B7" s="153" t="s">
        <v>19</v>
      </c>
      <c r="C7" s="154"/>
      <c r="F7" s="47"/>
    </row>
    <row r="8" spans="2:6" x14ac:dyDescent="0.2">
      <c r="B8" s="153" t="s">
        <v>20</v>
      </c>
      <c r="C8" s="154"/>
      <c r="F8" s="47"/>
    </row>
    <row r="9" spans="2:6" x14ac:dyDescent="0.2">
      <c r="B9" s="153" t="s">
        <v>21</v>
      </c>
      <c r="C9" s="154"/>
    </row>
    <row r="10" spans="2:6" x14ac:dyDescent="0.2">
      <c r="B10" s="153"/>
      <c r="C10" s="154"/>
    </row>
    <row r="11" spans="2:6" x14ac:dyDescent="0.2">
      <c r="B11" s="155" t="s">
        <v>473</v>
      </c>
      <c r="C11" s="154"/>
    </row>
    <row r="12" spans="2:6" x14ac:dyDescent="0.2">
      <c r="B12" s="155" t="s">
        <v>474</v>
      </c>
      <c r="C12" s="154"/>
    </row>
    <row r="13" spans="2:6" x14ac:dyDescent="0.2">
      <c r="B13" s="155" t="s">
        <v>476</v>
      </c>
      <c r="C13" s="154"/>
    </row>
    <row r="14" spans="2:6" x14ac:dyDescent="0.2">
      <c r="B14" s="155" t="s">
        <v>475</v>
      </c>
      <c r="C14" s="154"/>
    </row>
    <row r="15" spans="2:6" x14ac:dyDescent="0.2">
      <c r="B15" s="155" t="s">
        <v>477</v>
      </c>
      <c r="C15" s="154"/>
    </row>
    <row r="16" spans="2:6" x14ac:dyDescent="0.2">
      <c r="B16" s="153"/>
      <c r="C16" s="154"/>
    </row>
    <row r="17" spans="2:3" x14ac:dyDescent="0.2">
      <c r="B17" s="153" t="s">
        <v>24</v>
      </c>
      <c r="C17" s="154"/>
    </row>
    <row r="18" spans="2:3" x14ac:dyDescent="0.2">
      <c r="B18" s="153" t="s">
        <v>28</v>
      </c>
      <c r="C18" s="154"/>
    </row>
    <row r="19" spans="2:3" x14ac:dyDescent="0.2">
      <c r="B19" s="153"/>
      <c r="C19" s="154"/>
    </row>
    <row r="20" spans="2:3" x14ac:dyDescent="0.2">
      <c r="B20" s="153" t="s">
        <v>29</v>
      </c>
      <c r="C20" s="154"/>
    </row>
    <row r="21" spans="2:3" x14ac:dyDescent="0.2">
      <c r="B21" s="153" t="s">
        <v>30</v>
      </c>
      <c r="C21" s="154"/>
    </row>
    <row r="22" spans="2:3" x14ac:dyDescent="0.2">
      <c r="B22" s="153" t="s">
        <v>32</v>
      </c>
      <c r="C22" s="154"/>
    </row>
    <row r="23" spans="2:3" x14ac:dyDescent="0.2">
      <c r="B23" s="153" t="s">
        <v>31</v>
      </c>
      <c r="C23" s="154"/>
    </row>
    <row r="24" spans="2:3" x14ac:dyDescent="0.2">
      <c r="B24" s="119"/>
      <c r="C24" s="120"/>
    </row>
    <row r="25" spans="2:3" x14ac:dyDescent="0.2">
      <c r="B25" s="121" t="s">
        <v>6</v>
      </c>
      <c r="C25" s="120"/>
    </row>
    <row r="26" spans="2:3" x14ac:dyDescent="0.2">
      <c r="B26" s="119" t="s">
        <v>7</v>
      </c>
      <c r="C26" s="137">
        <v>400</v>
      </c>
    </row>
    <row r="27" spans="2:3" x14ac:dyDescent="0.2">
      <c r="B27" s="119" t="s">
        <v>8</v>
      </c>
      <c r="C27" s="137">
        <v>400</v>
      </c>
    </row>
    <row r="28" spans="2:3" x14ac:dyDescent="0.2">
      <c r="B28" s="119" t="s">
        <v>9</v>
      </c>
      <c r="C28" s="137">
        <v>0.5</v>
      </c>
    </row>
    <row r="29" spans="2:3" x14ac:dyDescent="0.2">
      <c r="B29" s="119" t="s">
        <v>478</v>
      </c>
      <c r="C29" s="137">
        <v>3.5</v>
      </c>
    </row>
    <row r="30" spans="2:3" x14ac:dyDescent="0.2">
      <c r="B30" s="119" t="s">
        <v>22</v>
      </c>
      <c r="C30" s="122" t="s">
        <v>16</v>
      </c>
    </row>
    <row r="31" spans="2:3" x14ac:dyDescent="0.2">
      <c r="B31" s="119" t="str">
        <f>IF($C$30="c","Equivalent annually compounded rate, percent","Equivalent continuously compounded rate, percent")</f>
        <v>Equivalent continuously compounded rate, percent</v>
      </c>
      <c r="C31" s="112">
        <f>IF(C30="c",100*EXP(0.01*C29)-100,100*LN(1+0.01*C29))</f>
        <v>3.4401426717332315</v>
      </c>
    </row>
    <row r="32" spans="2:3" x14ac:dyDescent="0.2">
      <c r="B32" s="119" t="s">
        <v>23</v>
      </c>
      <c r="C32" s="138">
        <v>26</v>
      </c>
    </row>
    <row r="33" spans="2:3" x14ac:dyDescent="0.2">
      <c r="B33" s="123" t="s">
        <v>441</v>
      </c>
      <c r="C33" s="112">
        <f>C28/C32</f>
        <v>1.9230769230769232E-2</v>
      </c>
    </row>
    <row r="34" spans="2:3" x14ac:dyDescent="0.2">
      <c r="B34" s="123" t="s">
        <v>440</v>
      </c>
      <c r="C34" s="139" t="s">
        <v>0</v>
      </c>
    </row>
    <row r="35" spans="2:3" x14ac:dyDescent="0.2">
      <c r="B35" s="123" t="str">
        <f>IF(C34="s","Standard deviation, percent","Upward move per step, u")</f>
        <v>Standard deviation, percent</v>
      </c>
      <c r="C35" s="151">
        <v>31.56</v>
      </c>
    </row>
    <row r="36" spans="2:3" x14ac:dyDescent="0.2">
      <c r="B36" s="123" t="str">
        <f>IF(C$34="s","u =","Standard deviation =")</f>
        <v>u =</v>
      </c>
      <c r="C36" s="125">
        <f>IF(C34="s",EXP(($C35/100)*$C$33^0.5),LN(C35)/$C$33^0.5)</f>
        <v>1.0447376961940817</v>
      </c>
    </row>
    <row r="37" spans="2:3" x14ac:dyDescent="0.2">
      <c r="B37" s="119" t="s">
        <v>2</v>
      </c>
      <c r="C37" s="125">
        <f>IF(C34="s",1/C36,1/C35)</f>
        <v>0.95717805880168916</v>
      </c>
    </row>
    <row r="38" spans="2:3" x14ac:dyDescent="0.2">
      <c r="B38" s="119"/>
      <c r="C38" s="152"/>
    </row>
    <row r="39" spans="2:3" x14ac:dyDescent="0.2">
      <c r="B39" s="119" t="str">
        <f>IF(C34="s","Note: u = Exp(std dev x sq root h)","Note: Standard deviation = ln(u)/sq root h")</f>
        <v>Note: u = Exp(std dev x sq root h)</v>
      </c>
      <c r="C39" s="152"/>
    </row>
    <row r="40" spans="2:3" x14ac:dyDescent="0.2">
      <c r="B40" s="119"/>
      <c r="C40" s="116"/>
    </row>
    <row r="41" spans="2:3" x14ac:dyDescent="0.2">
      <c r="B41" s="121" t="s">
        <v>15</v>
      </c>
      <c r="C41" s="120"/>
    </row>
    <row r="42" spans="2:3" x14ac:dyDescent="0.2">
      <c r="B42" s="119" t="s">
        <v>13</v>
      </c>
      <c r="C42" s="126">
        <f>Call!D67</f>
        <v>38.411698772766421</v>
      </c>
    </row>
    <row r="43" spans="2:3" x14ac:dyDescent="0.2">
      <c r="B43" s="124" t="s">
        <v>14</v>
      </c>
      <c r="C43" s="127">
        <f>Put!B66</f>
        <v>31.590253430301697</v>
      </c>
    </row>
    <row r="51" spans="2:4" x14ac:dyDescent="0.2">
      <c r="B51" s="128" t="s">
        <v>10</v>
      </c>
      <c r="C51" s="128">
        <f>(C$28/C$32)</f>
        <v>1.9230769230769232E-2</v>
      </c>
      <c r="D51" s="128"/>
    </row>
    <row r="52" spans="2:4" x14ac:dyDescent="0.2">
      <c r="B52" s="128" t="s">
        <v>1</v>
      </c>
      <c r="C52" s="129">
        <f>1/C37</f>
        <v>1.0447376961940817</v>
      </c>
      <c r="D52" s="128"/>
    </row>
    <row r="53" spans="2:4" x14ac:dyDescent="0.2">
      <c r="B53" s="128" t="s">
        <v>2</v>
      </c>
      <c r="C53" s="129">
        <f>1/C52</f>
        <v>0.95717805880168916</v>
      </c>
      <c r="D53" s="128"/>
    </row>
    <row r="54" spans="2:4" x14ac:dyDescent="0.2">
      <c r="B54" s="128" t="s">
        <v>5</v>
      </c>
      <c r="C54" s="129">
        <f>IF($C$30="c",(1+$C$31/100)^($C$51),(1+$C$29/100)^($C$51))</f>
        <v>1.000661784781395</v>
      </c>
      <c r="D54" s="128"/>
    </row>
    <row r="55" spans="2:4" x14ac:dyDescent="0.2">
      <c r="B55" s="128" t="s">
        <v>11</v>
      </c>
      <c r="C55" s="129">
        <f>(C54-C53)/(C52-C53)</f>
        <v>0.4966183880460408</v>
      </c>
      <c r="D55" s="128"/>
    </row>
  </sheetData>
  <sheetProtection password="DC54" sheet="1" objects="1" scenarios="1"/>
  <mergeCells count="20">
    <mergeCell ref="B17:C17"/>
    <mergeCell ref="B19:C19"/>
    <mergeCell ref="B23:C23"/>
    <mergeCell ref="B20:C20"/>
    <mergeCell ref="B21:C21"/>
    <mergeCell ref="B22:C22"/>
    <mergeCell ref="B18:C18"/>
    <mergeCell ref="B16:C16"/>
    <mergeCell ref="B15:C15"/>
    <mergeCell ref="B8:C8"/>
    <mergeCell ref="B9:C9"/>
    <mergeCell ref="B13:C13"/>
    <mergeCell ref="B11:C11"/>
    <mergeCell ref="B12:C12"/>
    <mergeCell ref="B10:C10"/>
    <mergeCell ref="B4:C4"/>
    <mergeCell ref="B5:C5"/>
    <mergeCell ref="B6:C6"/>
    <mergeCell ref="B7:C7"/>
    <mergeCell ref="B14:C14"/>
  </mergeCells>
  <phoneticPr fontId="2" type="noConversion"/>
  <dataValidations count="5">
    <dataValidation type="whole" allowBlank="1" showInputMessage="1" showErrorMessage="1" sqref="C32">
      <formula1>1</formula1>
      <formula2>26</formula2>
    </dataValidation>
    <dataValidation type="decimal" operator="greaterThan" allowBlank="1" showInputMessage="1" showErrorMessage="1" sqref="C40 C28 C27 C26 C35">
      <formula1>0</formula1>
    </dataValidation>
    <dataValidation type="list" allowBlank="1" showInputMessage="1" showErrorMessage="1" sqref="C30">
      <formula1>"a,A,c,C"</formula1>
    </dataValidation>
    <dataValidation type="decimal" operator="greaterThanOrEqual" allowBlank="1" showInputMessage="1" showErrorMessage="1" sqref="C29">
      <formula1>0</formula1>
    </dataValidation>
    <dataValidation type="list" allowBlank="1" showInputMessage="1" showErrorMessage="1" sqref="C34">
      <formula1>"s,u"</formula1>
    </dataValidation>
  </dataValidation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C144"/>
  <sheetViews>
    <sheetView showGridLines="0" showRowColHeaders="0" workbookViewId="0">
      <pane ySplit="10" topLeftCell="A11" activePane="bottomLeft" state="frozen"/>
      <selection pane="bottomLeft" activeCell="U4" sqref="U4"/>
    </sheetView>
  </sheetViews>
  <sheetFormatPr defaultRowHeight="12.75" x14ac:dyDescent="0.2"/>
  <cols>
    <col min="1" max="2" width="9.140625" style="46"/>
    <col min="3" max="3" width="8.5703125" style="46" bestFit="1" customWidth="1"/>
    <col min="4" max="4" width="1.7109375" style="46" customWidth="1"/>
    <col min="5" max="5" width="6.5703125" style="46" bestFit="1" customWidth="1"/>
    <col min="6" max="6" width="1.5703125" style="46" customWidth="1"/>
    <col min="7" max="7" width="6.5703125" style="46" bestFit="1" customWidth="1"/>
    <col min="8" max="8" width="1.7109375" style="46" customWidth="1"/>
    <col min="9" max="9" width="6.5703125" style="46" bestFit="1" customWidth="1"/>
    <col min="10" max="10" width="1.7109375" style="46" customWidth="1"/>
    <col min="11" max="11" width="9.140625" style="46"/>
    <col min="12" max="12" width="1.7109375" style="46" customWidth="1"/>
    <col min="13" max="13" width="7.7109375" style="46" customWidth="1"/>
    <col min="14" max="14" width="1.7109375" style="46" customWidth="1"/>
    <col min="15" max="15" width="9.140625" style="46"/>
    <col min="16" max="16" width="1.7109375" style="46" customWidth="1"/>
    <col min="17" max="17" width="9.140625" style="46"/>
    <col min="18" max="18" width="1.7109375" style="46" customWidth="1"/>
    <col min="19" max="19" width="9.140625" style="46"/>
    <col min="20" max="20" width="1.7109375" style="46" customWidth="1"/>
    <col min="21" max="21" width="9.140625" style="46"/>
    <col min="22" max="22" width="1.7109375" style="46" customWidth="1"/>
    <col min="23" max="23" width="9.140625" style="46"/>
    <col min="24" max="24" width="1.7109375" style="46" customWidth="1"/>
    <col min="25" max="25" width="9.140625" style="46"/>
    <col min="26" max="26" width="1.7109375" style="46" customWidth="1"/>
    <col min="27" max="27" width="9.140625" style="46"/>
    <col min="28" max="28" width="1.7109375" style="46" customWidth="1"/>
    <col min="29" max="29" width="9.140625" style="46"/>
    <col min="30" max="30" width="1.7109375" style="46" customWidth="1"/>
    <col min="31" max="31" width="9.140625" style="46"/>
    <col min="32" max="32" width="1.7109375" style="46" customWidth="1"/>
    <col min="33" max="33" width="9.140625" style="46"/>
    <col min="34" max="34" width="1.7109375" style="46" customWidth="1"/>
    <col min="35" max="35" width="9.140625" style="46"/>
    <col min="36" max="36" width="1.7109375" style="46" customWidth="1"/>
    <col min="37" max="37" width="9.140625" style="46"/>
    <col min="38" max="38" width="1.7109375" style="46" customWidth="1"/>
    <col min="39" max="39" width="9.140625" style="46"/>
    <col min="40" max="40" width="1.7109375" style="46" customWidth="1"/>
    <col min="41" max="41" width="9.140625" style="46"/>
    <col min="42" max="42" width="1.7109375" style="46" customWidth="1"/>
    <col min="43" max="43" width="9.140625" style="46"/>
    <col min="44" max="44" width="1.7109375" style="46" customWidth="1"/>
    <col min="45" max="45" width="9.140625" style="46"/>
    <col min="46" max="46" width="1.7109375" style="46" customWidth="1"/>
    <col min="47" max="47" width="9.140625" style="46"/>
    <col min="48" max="48" width="1.7109375" style="46" customWidth="1"/>
    <col min="49" max="49" width="9.140625" style="46"/>
    <col min="50" max="50" width="1.7109375" style="46" customWidth="1"/>
    <col min="51" max="51" width="9.140625" style="46"/>
    <col min="52" max="52" width="1.7109375" style="46" customWidth="1"/>
    <col min="53" max="53" width="9.140625" style="46"/>
    <col min="54" max="54" width="1.7109375" style="46" customWidth="1"/>
    <col min="55" max="16384" width="9.140625" style="46"/>
  </cols>
  <sheetData>
    <row r="1" spans="2:81" ht="14.25" x14ac:dyDescent="0.2">
      <c r="E1" s="128"/>
      <c r="F1" s="148" t="s">
        <v>38</v>
      </c>
      <c r="G1" s="149" t="s">
        <v>38</v>
      </c>
      <c r="H1" s="150"/>
      <c r="I1" s="128"/>
      <c r="J1" s="128"/>
      <c r="K1" s="128"/>
      <c r="L1" s="128"/>
      <c r="M1" s="128" t="s">
        <v>5</v>
      </c>
      <c r="N1" s="128"/>
      <c r="O1" s="128" t="s">
        <v>0</v>
      </c>
      <c r="P1" s="128"/>
      <c r="Q1" s="128" t="s">
        <v>1</v>
      </c>
      <c r="R1" s="128"/>
      <c r="S1" s="128" t="s">
        <v>2</v>
      </c>
      <c r="T1" s="128"/>
      <c r="U1" s="128" t="s">
        <v>3</v>
      </c>
      <c r="V1" s="128"/>
      <c r="W1" s="128" t="s">
        <v>4</v>
      </c>
      <c r="X1" s="128"/>
      <c r="Y1" s="128" t="s">
        <v>10</v>
      </c>
      <c r="Z1" s="128"/>
      <c r="AA1" s="128"/>
      <c r="AB1" s="128"/>
      <c r="AC1" s="128"/>
      <c r="AD1" s="128"/>
      <c r="AE1" s="128"/>
      <c r="AF1" s="128"/>
      <c r="AG1" s="128"/>
    </row>
    <row r="2" spans="2:81" x14ac:dyDescent="0.2">
      <c r="E2" s="128"/>
      <c r="F2" s="128"/>
      <c r="G2" s="128"/>
      <c r="H2" s="128"/>
      <c r="I2" s="128"/>
      <c r="J2" s="128"/>
      <c r="K2" s="128"/>
      <c r="L2" s="128"/>
      <c r="M2" s="129">
        <f>1+Inputs!$C$29/100</f>
        <v>1.0349999999999999</v>
      </c>
      <c r="N2" s="128"/>
      <c r="O2" s="128">
        <f>Inputs!$C$26</f>
        <v>400</v>
      </c>
      <c r="P2" s="128"/>
      <c r="Q2" s="128">
        <f>Inputs!$C$52</f>
        <v>1.0447376961940817</v>
      </c>
      <c r="R2" s="128"/>
      <c r="S2" s="128">
        <f>Inputs!$C$53</f>
        <v>0.95717805880168916</v>
      </c>
      <c r="T2" s="128"/>
      <c r="U2" s="128">
        <f>Inputs!$C$32</f>
        <v>26</v>
      </c>
      <c r="V2" s="128"/>
      <c r="W2" s="128">
        <f>Inputs!$C$27</f>
        <v>400</v>
      </c>
      <c r="X2" s="128"/>
      <c r="Y2" s="128">
        <f>Inputs!$C$51</f>
        <v>1.9230769230769232E-2</v>
      </c>
      <c r="Z2" s="128"/>
      <c r="AA2" s="128"/>
      <c r="AB2" s="128"/>
      <c r="AC2" s="128"/>
      <c r="AD2" s="128"/>
      <c r="AE2" s="128"/>
      <c r="AF2" s="128"/>
      <c r="AG2" s="128"/>
    </row>
    <row r="3" spans="2:81" s="48" customFormat="1" x14ac:dyDescent="0.2">
      <c r="B3" s="41" t="s">
        <v>26</v>
      </c>
      <c r="C3" s="50"/>
      <c r="D3" s="50"/>
      <c r="E3" s="50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2"/>
    </row>
    <row r="4" spans="2:81" s="48" customFormat="1" x14ac:dyDescent="0.2">
      <c r="B4" s="53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C4" s="55"/>
    </row>
    <row r="5" spans="2:81" s="48" customFormat="1" x14ac:dyDescent="0.2">
      <c r="B5" s="156" t="s">
        <v>439</v>
      </c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5"/>
    </row>
    <row r="6" spans="2:81" s="48" customFormat="1" x14ac:dyDescent="0.2">
      <c r="B6" s="156" t="s">
        <v>470</v>
      </c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P6" s="157"/>
      <c r="Q6" s="157"/>
      <c r="R6" s="157"/>
      <c r="S6" s="157"/>
      <c r="T6" s="157"/>
      <c r="U6" s="157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  <c r="AG6" s="54"/>
      <c r="AH6" s="54"/>
      <c r="AI6" s="54"/>
      <c r="AJ6" s="54"/>
      <c r="AK6" s="54"/>
      <c r="AL6" s="54"/>
      <c r="AM6" s="54"/>
      <c r="AN6" s="54"/>
      <c r="AO6" s="54"/>
      <c r="AP6" s="54"/>
      <c r="AQ6" s="54"/>
      <c r="AR6" s="54"/>
      <c r="AS6" s="54"/>
      <c r="AT6" s="54"/>
      <c r="AU6" s="54"/>
      <c r="AV6" s="54"/>
      <c r="AW6" s="54"/>
      <c r="AX6" s="54"/>
      <c r="AY6" s="54"/>
      <c r="AZ6" s="54"/>
      <c r="BA6" s="54"/>
      <c r="BB6" s="54"/>
      <c r="BC6" s="55"/>
    </row>
    <row r="7" spans="2:81" s="48" customFormat="1" x14ac:dyDescent="0.2">
      <c r="B7" s="158" t="s">
        <v>51</v>
      </c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157"/>
      <c r="P7" s="157"/>
      <c r="Q7" s="157"/>
      <c r="R7" s="157"/>
      <c r="S7" s="157"/>
      <c r="T7" s="157"/>
      <c r="U7" s="157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5"/>
    </row>
    <row r="8" spans="2:81" s="48" customFormat="1" x14ac:dyDescent="0.2">
      <c r="B8" s="158" t="s">
        <v>52</v>
      </c>
      <c r="C8" s="157"/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57"/>
      <c r="P8" s="157"/>
      <c r="Q8" s="157"/>
      <c r="R8" s="157"/>
      <c r="S8" s="157"/>
      <c r="T8" s="157"/>
      <c r="U8" s="157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4"/>
      <c r="AX8" s="54"/>
      <c r="AY8" s="54"/>
      <c r="AZ8" s="54"/>
      <c r="BA8" s="54"/>
      <c r="BB8" s="54"/>
      <c r="BC8" s="55"/>
    </row>
    <row r="9" spans="2:81" s="48" customFormat="1" x14ac:dyDescent="0.2">
      <c r="B9" s="56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4"/>
      <c r="BA9" s="54"/>
      <c r="BB9" s="54"/>
      <c r="BC9" s="55"/>
    </row>
    <row r="10" spans="2:81" x14ac:dyDescent="0.2">
      <c r="B10" s="44" t="s">
        <v>12</v>
      </c>
      <c r="C10" s="58">
        <v>0</v>
      </c>
      <c r="D10" s="58"/>
      <c r="E10" s="58">
        <v>1</v>
      </c>
      <c r="F10" s="58"/>
      <c r="G10" s="58">
        <f>IF(E10&lt;$U$2,E10+1,"")</f>
        <v>2</v>
      </c>
      <c r="H10" s="58"/>
      <c r="I10" s="58">
        <f>IF(G10&lt;$U$2,G10+1,"")</f>
        <v>3</v>
      </c>
      <c r="J10" s="58"/>
      <c r="K10" s="58">
        <f>IF(I10&lt;$U$2,I10+1,"")</f>
        <v>4</v>
      </c>
      <c r="L10" s="58"/>
      <c r="M10" s="58">
        <f>IF(K10&lt;$U$2,K10+1,"")</f>
        <v>5</v>
      </c>
      <c r="N10" s="58"/>
      <c r="O10" s="58">
        <f>IF(M10&lt;$U$2,M10+1,"")</f>
        <v>6</v>
      </c>
      <c r="P10" s="58"/>
      <c r="Q10" s="58">
        <f>IF(O10&lt;$U$2,O10+1,"")</f>
        <v>7</v>
      </c>
      <c r="R10" s="58"/>
      <c r="S10" s="58">
        <f>IF(Q10&lt;$U$2,Q10+1,"")</f>
        <v>8</v>
      </c>
      <c r="T10" s="58"/>
      <c r="U10" s="58">
        <f>IF(S10&lt;$U$2,S10+1,"")</f>
        <v>9</v>
      </c>
      <c r="V10" s="58"/>
      <c r="W10" s="58">
        <f>IF(U10&lt;$U$2,U10+1,"")</f>
        <v>10</v>
      </c>
      <c r="X10" s="58"/>
      <c r="Y10" s="58">
        <f>IF(W10&lt;$U$2,W10+1,"")</f>
        <v>11</v>
      </c>
      <c r="Z10" s="58"/>
      <c r="AA10" s="58">
        <f>IF(Y10&lt;$U$2,Y10+1,"")</f>
        <v>12</v>
      </c>
      <c r="AB10" s="58"/>
      <c r="AC10" s="58">
        <f>IF(AA10&lt;$U$2,AA10+1,"")</f>
        <v>13</v>
      </c>
      <c r="AD10" s="58"/>
      <c r="AE10" s="58">
        <f>IF(AC10&lt;$U$2,AC10+1,"")</f>
        <v>14</v>
      </c>
      <c r="AF10" s="58"/>
      <c r="AG10" s="58">
        <f>IF(AE10&lt;$U$2,AE10+1,"")</f>
        <v>15</v>
      </c>
      <c r="AH10" s="58"/>
      <c r="AI10" s="58">
        <f>IF(AG10&lt;$U$2,AG10+1,"")</f>
        <v>16</v>
      </c>
      <c r="AJ10" s="58"/>
      <c r="AK10" s="58">
        <f>IF(AI10&lt;$U$2,AI10+1,"")</f>
        <v>17</v>
      </c>
      <c r="AL10" s="58"/>
      <c r="AM10" s="58">
        <f>IF(AK10&lt;$U$2,AK10+1,"")</f>
        <v>18</v>
      </c>
      <c r="AN10" s="58"/>
      <c r="AO10" s="58">
        <f>IF(AM10&lt;$U$2,AM10+1,"")</f>
        <v>19</v>
      </c>
      <c r="AP10" s="58"/>
      <c r="AQ10" s="58">
        <f>IF(AO10&lt;$U$2,AO10+1,"")</f>
        <v>20</v>
      </c>
      <c r="AR10" s="58"/>
      <c r="AS10" s="58">
        <f>IF(AQ10&lt;$U$2,AQ10+1,"")</f>
        <v>21</v>
      </c>
      <c r="AT10" s="58"/>
      <c r="AU10" s="58">
        <f>IF(AS10&lt;$U$2,AS10+1,"")</f>
        <v>22</v>
      </c>
      <c r="AV10" s="58"/>
      <c r="AW10" s="59">
        <f>IF(AU10&lt;$U$2,AU10+1,"")</f>
        <v>23</v>
      </c>
      <c r="AX10" s="59"/>
      <c r="AY10" s="59">
        <f>IF(AW10&lt;$U$2,AW10+1,"")</f>
        <v>24</v>
      </c>
      <c r="AZ10" s="59"/>
      <c r="BA10" s="59">
        <f>IF(AY10&lt;$U$2,AY10+1,"")</f>
        <v>25</v>
      </c>
      <c r="BB10" s="59"/>
      <c r="BC10" s="60">
        <f>IF(BA10&lt;$U$2,BA10+1,"")</f>
        <v>26</v>
      </c>
      <c r="BD10" s="72" t="str">
        <f t="shared" ref="BD10:CC10" si="0">IF(BC10&lt;$U$2,BC10+1,"")</f>
        <v/>
      </c>
      <c r="BE10" s="46" t="str">
        <f t="shared" si="0"/>
        <v/>
      </c>
      <c r="BF10" s="46" t="str">
        <f t="shared" si="0"/>
        <v/>
      </c>
      <c r="BG10" s="46" t="str">
        <f t="shared" si="0"/>
        <v/>
      </c>
      <c r="BH10" s="46" t="str">
        <f t="shared" si="0"/>
        <v/>
      </c>
      <c r="BI10" s="46" t="str">
        <f t="shared" si="0"/>
        <v/>
      </c>
      <c r="BJ10" s="46" t="str">
        <f t="shared" si="0"/>
        <v/>
      </c>
      <c r="BK10" s="46" t="str">
        <f t="shared" si="0"/>
        <v/>
      </c>
      <c r="BL10" s="46" t="str">
        <f t="shared" si="0"/>
        <v/>
      </c>
      <c r="BM10" s="46" t="str">
        <f t="shared" si="0"/>
        <v/>
      </c>
      <c r="BN10" s="46" t="str">
        <f t="shared" si="0"/>
        <v/>
      </c>
      <c r="BO10" s="46" t="str">
        <f t="shared" si="0"/>
        <v/>
      </c>
      <c r="BP10" s="46" t="str">
        <f t="shared" si="0"/>
        <v/>
      </c>
      <c r="BQ10" s="46" t="str">
        <f t="shared" si="0"/>
        <v/>
      </c>
      <c r="BR10" s="46" t="str">
        <f t="shared" si="0"/>
        <v/>
      </c>
      <c r="BS10" s="46" t="str">
        <f t="shared" si="0"/>
        <v/>
      </c>
      <c r="BT10" s="46" t="str">
        <f t="shared" si="0"/>
        <v/>
      </c>
      <c r="BU10" s="46" t="str">
        <f t="shared" si="0"/>
        <v/>
      </c>
      <c r="BV10" s="46" t="str">
        <f t="shared" si="0"/>
        <v/>
      </c>
      <c r="BW10" s="46" t="str">
        <f t="shared" si="0"/>
        <v/>
      </c>
      <c r="BX10" s="46" t="str">
        <f t="shared" si="0"/>
        <v/>
      </c>
      <c r="BY10" s="46" t="str">
        <f t="shared" si="0"/>
        <v/>
      </c>
      <c r="BZ10" s="46" t="str">
        <f t="shared" si="0"/>
        <v/>
      </c>
      <c r="CA10" s="46" t="str">
        <f t="shared" si="0"/>
        <v/>
      </c>
      <c r="CB10" s="46" t="str">
        <f t="shared" si="0"/>
        <v/>
      </c>
      <c r="CC10" s="46" t="str">
        <f t="shared" si="0"/>
        <v/>
      </c>
    </row>
    <row r="11" spans="2:81" x14ac:dyDescent="0.2">
      <c r="B11" s="61" t="s">
        <v>25</v>
      </c>
      <c r="C11" s="62">
        <f>$Q$2</f>
        <v>1.0447376961940817</v>
      </c>
      <c r="D11" s="62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  <c r="AN11" s="63"/>
      <c r="AO11" s="63"/>
      <c r="AP11" s="63"/>
      <c r="AQ11" s="63"/>
      <c r="AR11" s="63"/>
      <c r="AS11" s="63"/>
      <c r="AT11" s="63"/>
      <c r="AU11" s="63"/>
      <c r="AV11" s="63"/>
      <c r="AW11" s="63"/>
      <c r="AX11" s="63"/>
      <c r="AY11" s="63"/>
      <c r="AZ11" s="63"/>
      <c r="BA11" s="63"/>
      <c r="BB11" s="63"/>
      <c r="BC11" s="45"/>
      <c r="BD11" s="71"/>
      <c r="BE11" s="71"/>
      <c r="BF11" s="71"/>
      <c r="BG11" s="71"/>
      <c r="BH11" s="71"/>
      <c r="BI11" s="71"/>
      <c r="BJ11" s="71"/>
      <c r="BK11" s="71"/>
      <c r="BL11" s="71"/>
      <c r="BM11" s="71"/>
      <c r="BN11" s="71"/>
      <c r="BO11" s="71"/>
      <c r="BP11" s="71"/>
      <c r="BQ11" s="71"/>
      <c r="BR11" s="71"/>
      <c r="BS11" s="71"/>
      <c r="BT11" s="71"/>
      <c r="BU11" s="71"/>
      <c r="BV11" s="71"/>
      <c r="BW11" s="71"/>
      <c r="BX11" s="71"/>
      <c r="BY11" s="71"/>
      <c r="BZ11" s="71"/>
      <c r="CA11" s="71"/>
      <c r="CB11" s="71"/>
      <c r="CC11" s="71"/>
    </row>
    <row r="12" spans="2:81" x14ac:dyDescent="0.2">
      <c r="B12" s="61" t="s">
        <v>39</v>
      </c>
      <c r="C12" s="62">
        <f>$S$2</f>
        <v>0.95717805880168916</v>
      </c>
      <c r="D12" s="62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s="63"/>
      <c r="AV12" s="63"/>
      <c r="AW12" s="63"/>
      <c r="AX12" s="63"/>
      <c r="AY12" s="63"/>
      <c r="AZ12" s="63"/>
      <c r="BA12" s="63"/>
      <c r="BB12" s="63"/>
      <c r="BC12" s="45"/>
      <c r="BD12" s="71"/>
      <c r="BE12" s="71"/>
      <c r="BF12" s="71"/>
      <c r="BG12" s="71"/>
      <c r="BH12" s="71"/>
      <c r="BI12" s="71"/>
      <c r="BJ12" s="71"/>
      <c r="BK12" s="71"/>
      <c r="BL12" s="71"/>
      <c r="BM12" s="71"/>
      <c r="BN12" s="71"/>
      <c r="BO12" s="71"/>
      <c r="BP12" s="71"/>
      <c r="BQ12" s="71"/>
      <c r="BR12" s="71"/>
      <c r="BS12" s="71"/>
      <c r="BT12" s="71"/>
      <c r="BU12" s="71"/>
      <c r="BV12" s="71"/>
      <c r="BW12" s="71"/>
      <c r="BX12" s="71"/>
      <c r="BY12" s="71"/>
      <c r="BZ12" s="71"/>
      <c r="CA12" s="71"/>
      <c r="CB12" s="71"/>
      <c r="CC12" s="71"/>
    </row>
    <row r="13" spans="2:81" x14ac:dyDescent="0.2">
      <c r="B13" s="64" t="s">
        <v>40</v>
      </c>
      <c r="C13" s="39"/>
      <c r="D13" s="39"/>
      <c r="E13" s="21"/>
      <c r="F13" s="21"/>
      <c r="G13" s="21"/>
      <c r="H13" s="21"/>
      <c r="I13" s="21"/>
      <c r="J13" s="21"/>
      <c r="K13" s="21">
        <f>($M$2-$S$2)/($Q$2-$S$2)</f>
        <v>0.88878784238857689</v>
      </c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2"/>
      <c r="BD13" s="71"/>
      <c r="BE13" s="71"/>
      <c r="BF13" s="71"/>
      <c r="BG13" s="71"/>
      <c r="BH13" s="71"/>
      <c r="BI13" s="71"/>
      <c r="BJ13" s="71"/>
      <c r="BK13" s="71"/>
      <c r="BL13" s="71"/>
      <c r="BM13" s="71"/>
      <c r="BN13" s="71"/>
      <c r="BO13" s="71"/>
      <c r="BP13" s="71"/>
      <c r="BQ13" s="71"/>
      <c r="BR13" s="71"/>
      <c r="BS13" s="71"/>
      <c r="BT13" s="71"/>
      <c r="BU13" s="71"/>
      <c r="BV13" s="71"/>
      <c r="BW13" s="71"/>
      <c r="BX13" s="71"/>
      <c r="BY13" s="71"/>
      <c r="BZ13" s="71"/>
      <c r="CA13" s="71"/>
      <c r="CB13" s="71"/>
      <c r="CC13" s="71"/>
    </row>
    <row r="14" spans="2:81" x14ac:dyDescent="0.2">
      <c r="B14" s="64"/>
      <c r="C14" s="39"/>
      <c r="D14" s="39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2">
        <f>+IF(BC$10&gt;$U$2,"",BA16*$Q$2)</f>
        <v>1248.0985718249592</v>
      </c>
      <c r="BD14" s="71"/>
      <c r="BE14" s="71"/>
      <c r="BF14" s="71"/>
      <c r="BG14" s="71"/>
      <c r="BH14" s="71"/>
      <c r="BI14" s="71"/>
      <c r="BJ14" s="71"/>
      <c r="BK14" s="71"/>
      <c r="BL14" s="71"/>
      <c r="BM14" s="71"/>
      <c r="BN14" s="71"/>
      <c r="BO14" s="71"/>
      <c r="BP14" s="71"/>
      <c r="BQ14" s="71"/>
      <c r="BR14" s="71"/>
      <c r="BS14" s="71"/>
      <c r="BT14" s="71"/>
      <c r="BU14" s="71"/>
      <c r="BV14" s="71"/>
      <c r="BW14" s="71"/>
      <c r="BX14" s="71"/>
      <c r="BY14" s="71"/>
      <c r="BZ14" s="71"/>
      <c r="CA14" s="71"/>
      <c r="CB14" s="71"/>
      <c r="CC14" s="71"/>
    </row>
    <row r="15" spans="2:81" ht="14.25" x14ac:dyDescent="0.2">
      <c r="B15" s="19"/>
      <c r="C15" s="39"/>
      <c r="D15" s="39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49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5" t="str">
        <f>IF(BC$10&gt;$U$2,"",$F$1)</f>
        <v>│</v>
      </c>
      <c r="BC15" s="22"/>
      <c r="BD15" s="71"/>
      <c r="BE15" s="71"/>
      <c r="BF15" s="71"/>
      <c r="BG15" s="71"/>
      <c r="BH15" s="71"/>
      <c r="BI15" s="71"/>
      <c r="BJ15" s="71"/>
      <c r="BK15" s="71"/>
      <c r="BL15" s="71"/>
      <c r="BM15" s="71"/>
      <c r="BN15" s="71"/>
      <c r="BO15" s="71"/>
      <c r="BP15" s="71"/>
      <c r="BQ15" s="71"/>
      <c r="BR15" s="71"/>
      <c r="BS15" s="71"/>
      <c r="BT15" s="71"/>
      <c r="BU15" s="71"/>
      <c r="BV15" s="71"/>
      <c r="BW15" s="71"/>
      <c r="BX15" s="71"/>
      <c r="BY15" s="71"/>
      <c r="BZ15" s="71"/>
      <c r="CA15" s="71"/>
      <c r="CB15" s="71"/>
      <c r="CC15" s="71"/>
    </row>
    <row r="16" spans="2:81" x14ac:dyDescent="0.2">
      <c r="B16" s="64"/>
      <c r="C16" s="39"/>
      <c r="D16" s="39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>
        <f>+IF(BA$10&gt;$U$2,"",AY18*$Q$2)</f>
        <v>1194.652568172575</v>
      </c>
      <c r="BB16" s="21"/>
      <c r="BC16" s="22"/>
      <c r="BD16" s="71"/>
      <c r="BE16" s="71"/>
      <c r="BF16" s="71"/>
      <c r="BG16" s="71"/>
      <c r="BH16" s="71"/>
      <c r="BI16" s="71"/>
      <c r="BJ16" s="71"/>
      <c r="BK16" s="71"/>
      <c r="BL16" s="71"/>
      <c r="BM16" s="71"/>
      <c r="BN16" s="71"/>
      <c r="BO16" s="71"/>
      <c r="BP16" s="71"/>
      <c r="BQ16" s="71"/>
      <c r="BR16" s="71"/>
      <c r="BS16" s="71"/>
      <c r="BT16" s="71"/>
      <c r="BU16" s="71"/>
      <c r="BV16" s="71"/>
      <c r="BW16" s="71"/>
      <c r="BX16" s="71"/>
      <c r="BY16" s="71"/>
      <c r="BZ16" s="71"/>
      <c r="CA16" s="71"/>
      <c r="CB16" s="71"/>
      <c r="CC16" s="71"/>
    </row>
    <row r="17" spans="2:81" ht="14.25" x14ac:dyDescent="0.2">
      <c r="B17" s="64"/>
      <c r="C17" s="39"/>
      <c r="D17" s="39"/>
      <c r="E17" s="21"/>
      <c r="F17" s="21"/>
      <c r="G17" s="39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5" t="str">
        <f>IF(BA$10&gt;$U$2,"",$F$1)</f>
        <v>│</v>
      </c>
      <c r="BA17" s="21"/>
      <c r="BB17" s="65" t="str">
        <f>IF(BC$10&gt;$U$2,"",$G$1)</f>
        <v>│</v>
      </c>
      <c r="BC17" s="22"/>
      <c r="BD17" s="71"/>
      <c r="BE17" s="71"/>
      <c r="BF17" s="71"/>
      <c r="BG17" s="71"/>
      <c r="BH17" s="71"/>
      <c r="BI17" s="71"/>
      <c r="BJ17" s="71"/>
      <c r="BK17" s="71"/>
      <c r="BL17" s="71"/>
      <c r="BM17" s="71"/>
      <c r="BN17" s="71"/>
      <c r="BO17" s="71"/>
      <c r="BP17" s="71"/>
      <c r="BQ17" s="71"/>
      <c r="BR17" s="71"/>
      <c r="BS17" s="71"/>
      <c r="BT17" s="71"/>
      <c r="BU17" s="71"/>
      <c r="BV17" s="71"/>
      <c r="BW17" s="71"/>
      <c r="BX17" s="71"/>
      <c r="BY17" s="71"/>
      <c r="BZ17" s="71"/>
      <c r="CA17" s="71"/>
      <c r="CB17" s="71"/>
      <c r="CC17" s="71"/>
    </row>
    <row r="18" spans="2:81" x14ac:dyDescent="0.2">
      <c r="B18" s="19"/>
      <c r="C18" s="20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>
        <f>+IF(AY$10&gt;$U$2,"",AW20*$Q$2)</f>
        <v>1143.495226145878</v>
      </c>
      <c r="AZ18" s="21"/>
      <c r="BA18" s="21"/>
      <c r="BB18" s="21"/>
      <c r="BC18" s="22">
        <f>+IF(BC$10&gt;$U$2,"",BA20*$Q$2)</f>
        <v>1143.495226145878</v>
      </c>
      <c r="BD18" s="71"/>
      <c r="BE18" s="71"/>
      <c r="BF18" s="71"/>
      <c r="BG18" s="71"/>
      <c r="BH18" s="71"/>
      <c r="BI18" s="71"/>
      <c r="BJ18" s="71"/>
      <c r="BK18" s="71"/>
      <c r="BL18" s="71"/>
      <c r="BM18" s="71"/>
      <c r="BN18" s="71"/>
      <c r="BO18" s="71"/>
      <c r="BP18" s="71"/>
      <c r="BQ18" s="71"/>
      <c r="BR18" s="71"/>
      <c r="BS18" s="71"/>
      <c r="BT18" s="71"/>
      <c r="BU18" s="71"/>
      <c r="BV18" s="71"/>
      <c r="BW18" s="71"/>
      <c r="BX18" s="71"/>
      <c r="BY18" s="71"/>
      <c r="BZ18" s="71"/>
      <c r="CA18" s="71"/>
      <c r="CB18" s="71"/>
      <c r="CC18" s="71"/>
    </row>
    <row r="19" spans="2:81" ht="14.25" x14ac:dyDescent="0.2">
      <c r="B19" s="19"/>
      <c r="C19" s="20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5" t="str">
        <f>IF(AY$10&gt;$U$2,"",$F$1)</f>
        <v>│</v>
      </c>
      <c r="AY19" s="21"/>
      <c r="AZ19" s="65" t="str">
        <f>IF(BA$10&gt;$U$2,"",$G$1)</f>
        <v>│</v>
      </c>
      <c r="BA19" s="21"/>
      <c r="BB19" s="25" t="str">
        <f>IF(BC$10&gt;$U$2,"",$F$1)</f>
        <v>│</v>
      </c>
      <c r="BC19" s="22"/>
      <c r="BD19" s="71"/>
      <c r="BE19" s="71"/>
      <c r="BF19" s="71"/>
      <c r="BG19" s="71"/>
      <c r="BH19" s="71"/>
      <c r="BI19" s="71"/>
      <c r="BJ19" s="71"/>
      <c r="BK19" s="71"/>
      <c r="BL19" s="71"/>
      <c r="BM19" s="71"/>
      <c r="BN19" s="71"/>
      <c r="BO19" s="71"/>
      <c r="BP19" s="71"/>
      <c r="BQ19" s="71"/>
      <c r="BR19" s="71"/>
      <c r="BS19" s="71"/>
      <c r="BT19" s="71"/>
      <c r="BU19" s="71"/>
      <c r="BV19" s="71"/>
      <c r="BW19" s="71"/>
      <c r="BX19" s="71"/>
      <c r="BY19" s="71"/>
      <c r="BZ19" s="71"/>
      <c r="CA19" s="71"/>
      <c r="CB19" s="71"/>
      <c r="CC19" s="71"/>
    </row>
    <row r="20" spans="2:81" x14ac:dyDescent="0.2">
      <c r="B20" s="19"/>
      <c r="C20" s="20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>
        <f>+IF(AW$10&gt;$U$2,"",AU22*$Q$2)</f>
        <v>1094.52854081131</v>
      </c>
      <c r="AX20" s="21"/>
      <c r="AY20" s="21"/>
      <c r="AZ20" s="21"/>
      <c r="BA20" s="21">
        <f>+IF(BA$10&gt;$U$2,"",AY22*$Q$2)</f>
        <v>1094.52854081131</v>
      </c>
      <c r="BB20" s="21"/>
      <c r="BC20" s="22"/>
      <c r="BD20" s="71"/>
      <c r="BE20" s="71"/>
      <c r="BF20" s="71"/>
      <c r="BG20" s="71"/>
      <c r="BH20" s="71"/>
      <c r="BI20" s="71"/>
      <c r="BJ20" s="71"/>
      <c r="BK20" s="71"/>
      <c r="BL20" s="71"/>
      <c r="BM20" s="71"/>
      <c r="BN20" s="71"/>
      <c r="BO20" s="71"/>
      <c r="BP20" s="71"/>
      <c r="BQ20" s="71"/>
      <c r="BR20" s="71"/>
      <c r="BS20" s="71"/>
      <c r="BT20" s="71"/>
      <c r="BU20" s="71"/>
      <c r="BV20" s="71"/>
      <c r="BW20" s="71"/>
      <c r="BX20" s="71"/>
      <c r="BY20" s="71"/>
      <c r="BZ20" s="71"/>
      <c r="CA20" s="71"/>
      <c r="CB20" s="71"/>
      <c r="CC20" s="71"/>
    </row>
    <row r="21" spans="2:81" ht="14.25" x14ac:dyDescent="0.2">
      <c r="B21" s="23"/>
      <c r="C21" s="39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5" t="str">
        <f>IF(AW$10&gt;$U$2,"",$F$1)</f>
        <v>│</v>
      </c>
      <c r="AW21" s="21"/>
      <c r="AX21" s="65" t="str">
        <f>IF(AY$10&gt;$U$2,"",$G$1)</f>
        <v>│</v>
      </c>
      <c r="AY21" s="21"/>
      <c r="AZ21" s="25" t="str">
        <f>IF(BA$10&gt;$U$2,"",$F$1)</f>
        <v>│</v>
      </c>
      <c r="BA21" s="21"/>
      <c r="BB21" s="65" t="str">
        <f>IF(BC$10&gt;$U$2,"",$G$1)</f>
        <v>│</v>
      </c>
      <c r="BC21" s="22"/>
      <c r="BD21" s="71"/>
      <c r="BE21" s="71"/>
      <c r="BF21" s="71"/>
      <c r="BG21" s="71"/>
      <c r="BH21" s="71"/>
      <c r="BI21" s="71"/>
      <c r="BJ21" s="71"/>
      <c r="BK21" s="71"/>
      <c r="BL21" s="71"/>
      <c r="BM21" s="71"/>
      <c r="BN21" s="71"/>
      <c r="BO21" s="71"/>
      <c r="BP21" s="71"/>
      <c r="BQ21" s="71"/>
      <c r="BR21" s="71"/>
      <c r="BS21" s="71"/>
      <c r="BT21" s="71"/>
      <c r="BU21" s="71"/>
      <c r="BV21" s="71"/>
      <c r="BW21" s="71"/>
      <c r="BX21" s="71"/>
      <c r="BY21" s="71"/>
      <c r="BZ21" s="71"/>
      <c r="CA21" s="71"/>
      <c r="CB21" s="71"/>
      <c r="CC21" s="71"/>
    </row>
    <row r="22" spans="2:81" x14ac:dyDescent="0.2">
      <c r="B22" s="19"/>
      <c r="C22" s="20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>
        <f>+IF(AU$10&gt;$U$2,"",AS24*$Q$2)</f>
        <v>1047.6587039968151</v>
      </c>
      <c r="AV22" s="21"/>
      <c r="AW22" s="21"/>
      <c r="AX22" s="21"/>
      <c r="AY22" s="21">
        <f>+IF(AY$10&gt;$U$2,"",AW24*$Q$2)</f>
        <v>1047.6587039968151</v>
      </c>
      <c r="AZ22" s="21"/>
      <c r="BA22" s="21"/>
      <c r="BB22" s="21"/>
      <c r="BC22" s="22">
        <f>+IF(BC$10&gt;$U$2,"",BA24*$Q$2)</f>
        <v>1047.6587039968151</v>
      </c>
      <c r="BD22" s="71"/>
      <c r="BE22" s="71"/>
      <c r="BF22" s="71"/>
      <c r="BG22" s="71"/>
      <c r="BH22" s="71"/>
      <c r="BI22" s="71"/>
      <c r="BJ22" s="71"/>
      <c r="BK22" s="71"/>
      <c r="BL22" s="71"/>
      <c r="BM22" s="71"/>
      <c r="BN22" s="71"/>
      <c r="BO22" s="71"/>
      <c r="BP22" s="71"/>
      <c r="BQ22" s="71"/>
      <c r="BR22" s="71"/>
      <c r="BS22" s="71"/>
      <c r="BT22" s="71"/>
      <c r="BU22" s="71"/>
      <c r="BV22" s="71"/>
      <c r="BW22" s="71"/>
      <c r="BX22" s="71"/>
      <c r="BY22" s="71"/>
      <c r="BZ22" s="71"/>
      <c r="CA22" s="71"/>
      <c r="CB22" s="71"/>
      <c r="CC22" s="71"/>
    </row>
    <row r="23" spans="2:81" ht="14.25" x14ac:dyDescent="0.2">
      <c r="B23" s="19"/>
      <c r="C23" s="20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5" t="str">
        <f>IF(AU$10&gt;$U$2,"",$F$1)</f>
        <v>│</v>
      </c>
      <c r="AU23" s="21"/>
      <c r="AV23" s="65" t="str">
        <f>IF(AW$10&gt;$U$2,"",$G$1)</f>
        <v>│</v>
      </c>
      <c r="AW23" s="21"/>
      <c r="AX23" s="25" t="str">
        <f>IF(AY$10&gt;$U$2,"",$F$1)</f>
        <v>│</v>
      </c>
      <c r="AY23" s="21"/>
      <c r="AZ23" s="65" t="str">
        <f>IF(BA$10&gt;$U$2,"",$G$1)</f>
        <v>│</v>
      </c>
      <c r="BA23" s="21"/>
      <c r="BB23" s="25" t="str">
        <f>IF(BC$10&gt;$U$2,"",$F$1)</f>
        <v>│</v>
      </c>
      <c r="BC23" s="22"/>
      <c r="BD23" s="71"/>
      <c r="BE23" s="71"/>
      <c r="BF23" s="71"/>
      <c r="BG23" s="71"/>
      <c r="BH23" s="71"/>
      <c r="BI23" s="71"/>
      <c r="BJ23" s="71"/>
      <c r="BK23" s="71"/>
      <c r="BL23" s="71"/>
      <c r="BM23" s="71"/>
      <c r="BN23" s="71"/>
      <c r="BO23" s="71"/>
      <c r="BP23" s="71"/>
      <c r="BQ23" s="71"/>
      <c r="BR23" s="71"/>
      <c r="BS23" s="71"/>
      <c r="BT23" s="71"/>
      <c r="BU23" s="71"/>
      <c r="BV23" s="71"/>
      <c r="BW23" s="71"/>
      <c r="BX23" s="71"/>
      <c r="BY23" s="71"/>
      <c r="BZ23" s="71"/>
      <c r="CA23" s="71"/>
      <c r="CB23" s="71"/>
      <c r="CC23" s="71"/>
    </row>
    <row r="24" spans="2:81" x14ac:dyDescent="0.2">
      <c r="B24" s="19"/>
      <c r="C24" s="20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>
        <f>+IF(AS$10&gt;$U$2,"",AQ26*$Q$2)</f>
        <v>1002.795924578365</v>
      </c>
      <c r="AT24" s="21"/>
      <c r="AU24" s="21"/>
      <c r="AV24" s="21"/>
      <c r="AW24" s="21">
        <f>+IF(AW$10&gt;$U$2,"",AU26*$Q$2)</f>
        <v>1002.795924578365</v>
      </c>
      <c r="AX24" s="21"/>
      <c r="AY24" s="21"/>
      <c r="AZ24" s="21"/>
      <c r="BA24" s="21">
        <f>+IF(BA$10&gt;$U$2,"",AY26*$Q$2)</f>
        <v>1002.795924578365</v>
      </c>
      <c r="BB24" s="21"/>
      <c r="BC24" s="22"/>
      <c r="BD24" s="71"/>
      <c r="BE24" s="71"/>
      <c r="BF24" s="71"/>
      <c r="BG24" s="71"/>
      <c r="BH24" s="71"/>
      <c r="BI24" s="71"/>
      <c r="BJ24" s="71"/>
      <c r="BK24" s="71"/>
      <c r="BL24" s="71"/>
      <c r="BM24" s="71"/>
      <c r="BN24" s="71"/>
      <c r="BO24" s="71"/>
      <c r="BP24" s="71"/>
      <c r="BQ24" s="71"/>
      <c r="BR24" s="71"/>
      <c r="BS24" s="71"/>
      <c r="BT24" s="71"/>
      <c r="BU24" s="71"/>
      <c r="BV24" s="71"/>
      <c r="BW24" s="71"/>
      <c r="BX24" s="71"/>
      <c r="BY24" s="71"/>
      <c r="BZ24" s="71"/>
      <c r="CA24" s="71"/>
      <c r="CB24" s="71"/>
      <c r="CC24" s="71"/>
    </row>
    <row r="25" spans="2:81" ht="14.25" x14ac:dyDescent="0.2">
      <c r="B25" s="19"/>
      <c r="C25" s="20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5" t="str">
        <f>IF(AS$10&gt;$U$2,"",$F$1)</f>
        <v>│</v>
      </c>
      <c r="AS25" s="21"/>
      <c r="AT25" s="65" t="str">
        <f>IF(AU$10&gt;$U$2,"",$G$1)</f>
        <v>│</v>
      </c>
      <c r="AU25" s="21"/>
      <c r="AV25" s="25" t="str">
        <f>IF(AW$10&gt;$U$2,"",$F$1)</f>
        <v>│</v>
      </c>
      <c r="AW25" s="21"/>
      <c r="AX25" s="65" t="str">
        <f>IF(AY$10&gt;$U$2,"",$G$1)</f>
        <v>│</v>
      </c>
      <c r="AY25" s="21"/>
      <c r="AZ25" s="25" t="str">
        <f>IF(BA$10&gt;$U$2,"",$F$1)</f>
        <v>│</v>
      </c>
      <c r="BA25" s="21"/>
      <c r="BB25" s="65" t="str">
        <f>IF(BC$10&gt;$U$2,"",$G$1)</f>
        <v>│</v>
      </c>
      <c r="BC25" s="22"/>
      <c r="BD25" s="71"/>
      <c r="BE25" s="71"/>
      <c r="BF25" s="71"/>
      <c r="BG25" s="71"/>
      <c r="BH25" s="71"/>
      <c r="BI25" s="71"/>
      <c r="BJ25" s="71"/>
      <c r="BK25" s="71"/>
      <c r="BL25" s="71"/>
      <c r="BM25" s="71"/>
      <c r="BN25" s="71"/>
      <c r="BO25" s="71"/>
      <c r="BP25" s="71"/>
      <c r="BQ25" s="71"/>
      <c r="BR25" s="71"/>
      <c r="BS25" s="71"/>
      <c r="BT25" s="71"/>
      <c r="BU25" s="71"/>
      <c r="BV25" s="71"/>
      <c r="BW25" s="71"/>
      <c r="BX25" s="71"/>
      <c r="BY25" s="71"/>
      <c r="BZ25" s="71"/>
      <c r="CA25" s="71"/>
      <c r="CB25" s="71"/>
      <c r="CC25" s="71"/>
    </row>
    <row r="26" spans="2:81" x14ac:dyDescent="0.2">
      <c r="B26" s="23"/>
      <c r="C26" s="39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>
        <f>+IF(AQ$10&gt;$U$2,"",AO28*$Q$2)</f>
        <v>959.85425646216447</v>
      </c>
      <c r="AR26" s="21"/>
      <c r="AS26" s="21"/>
      <c r="AT26" s="21"/>
      <c r="AU26" s="21">
        <f>+IF(AU$10&gt;$U$2,"",AS28*$Q$2)</f>
        <v>959.85425646216447</v>
      </c>
      <c r="AV26" s="21"/>
      <c r="AW26" s="21"/>
      <c r="AX26" s="21"/>
      <c r="AY26" s="21">
        <f>+IF(AY$10&gt;$U$2,"",AW28*$Q$2)</f>
        <v>959.85425646216447</v>
      </c>
      <c r="AZ26" s="21"/>
      <c r="BA26" s="21"/>
      <c r="BB26" s="21"/>
      <c r="BC26" s="22">
        <f>+IF(BC$10&gt;$U$2,"",BA28*$Q$2)</f>
        <v>959.85425646216447</v>
      </c>
      <c r="BD26" s="71"/>
      <c r="BE26" s="71"/>
      <c r="BF26" s="71"/>
      <c r="BG26" s="71"/>
      <c r="BH26" s="71"/>
      <c r="BI26" s="71"/>
      <c r="BJ26" s="71"/>
      <c r="BK26" s="71"/>
      <c r="BL26" s="71"/>
      <c r="BM26" s="71"/>
      <c r="BN26" s="71"/>
      <c r="BO26" s="71"/>
      <c r="BP26" s="71"/>
      <c r="BQ26" s="71"/>
      <c r="BR26" s="71"/>
      <c r="BS26" s="71"/>
      <c r="BT26" s="71"/>
      <c r="BU26" s="71"/>
      <c r="BV26" s="71"/>
      <c r="BW26" s="71"/>
      <c r="BX26" s="71"/>
      <c r="BY26" s="71"/>
      <c r="BZ26" s="71"/>
      <c r="CA26" s="71"/>
      <c r="CB26" s="71"/>
      <c r="CC26" s="71"/>
    </row>
    <row r="27" spans="2:81" ht="14.25" x14ac:dyDescent="0.2">
      <c r="B27" s="23"/>
      <c r="C27" s="39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5" t="str">
        <f>IF(AQ$10&gt;$U$2,"",$F$1)</f>
        <v>│</v>
      </c>
      <c r="AQ27" s="21"/>
      <c r="AR27" s="65" t="str">
        <f>IF(AS$10&gt;$U$2,"",$G$1)</f>
        <v>│</v>
      </c>
      <c r="AS27" s="21"/>
      <c r="AT27" s="25" t="str">
        <f>IF(AU$10&gt;$U$2,"",$F$1)</f>
        <v>│</v>
      </c>
      <c r="AU27" s="21"/>
      <c r="AV27" s="65" t="str">
        <f>IF(AW$10&gt;$U$2,"",$G$1)</f>
        <v>│</v>
      </c>
      <c r="AW27" s="21"/>
      <c r="AX27" s="25" t="str">
        <f>IF(AY$10&gt;$U$2,"",$F$1)</f>
        <v>│</v>
      </c>
      <c r="AY27" s="21"/>
      <c r="AZ27" s="65" t="str">
        <f>IF(BA$10&gt;$U$2,"",$G$1)</f>
        <v>│</v>
      </c>
      <c r="BA27" s="21"/>
      <c r="BB27" s="25" t="str">
        <f>IF(BC$10&gt;$U$2,"",$F$1)</f>
        <v>│</v>
      </c>
      <c r="BC27" s="22"/>
      <c r="BD27" s="71"/>
      <c r="BE27" s="71"/>
      <c r="BF27" s="71"/>
      <c r="BG27" s="71"/>
      <c r="BH27" s="71"/>
      <c r="BI27" s="71"/>
      <c r="BJ27" s="71"/>
      <c r="BK27" s="71"/>
      <c r="BL27" s="71"/>
      <c r="BM27" s="71"/>
      <c r="BN27" s="71"/>
      <c r="BO27" s="71"/>
      <c r="BP27" s="71"/>
      <c r="BQ27" s="71"/>
      <c r="BR27" s="71"/>
      <c r="BS27" s="71"/>
      <c r="BT27" s="71"/>
      <c r="BU27" s="71"/>
      <c r="BV27" s="71"/>
      <c r="BW27" s="71"/>
      <c r="BX27" s="71"/>
      <c r="BY27" s="71"/>
      <c r="BZ27" s="71"/>
      <c r="CA27" s="71"/>
      <c r="CB27" s="71"/>
      <c r="CC27" s="71"/>
    </row>
    <row r="28" spans="2:81" x14ac:dyDescent="0.2">
      <c r="B28" s="23"/>
      <c r="C28" s="39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>
        <f>+IF(AO$10&gt;$U$2,"",AM30*$Q$2)</f>
        <v>918.75143393299322</v>
      </c>
      <c r="AP28" s="21"/>
      <c r="AQ28" s="21"/>
      <c r="AR28" s="21"/>
      <c r="AS28" s="21">
        <f>+IF(AS$10&gt;$U$2,"",AQ30*$Q$2)</f>
        <v>918.75143393299322</v>
      </c>
      <c r="AT28" s="21"/>
      <c r="AU28" s="21"/>
      <c r="AV28" s="21"/>
      <c r="AW28" s="21">
        <f>+IF(AW$10&gt;$U$2,"",AU30*$Q$2)</f>
        <v>918.75143393299322</v>
      </c>
      <c r="AX28" s="21"/>
      <c r="AY28" s="21"/>
      <c r="AZ28" s="21"/>
      <c r="BA28" s="21">
        <f>+IF(BA$10&gt;$U$2,"",AY30*$Q$2)</f>
        <v>918.75143393299322</v>
      </c>
      <c r="BB28" s="21"/>
      <c r="BC28" s="22"/>
      <c r="BD28" s="71"/>
      <c r="BE28" s="71"/>
      <c r="BF28" s="71"/>
      <c r="BG28" s="71"/>
      <c r="BH28" s="71"/>
      <c r="BI28" s="71"/>
      <c r="BJ28" s="71"/>
      <c r="BK28" s="71"/>
      <c r="BL28" s="71"/>
      <c r="BM28" s="71"/>
      <c r="BN28" s="71"/>
      <c r="BO28" s="71"/>
      <c r="BP28" s="71"/>
      <c r="BQ28" s="71"/>
      <c r="BR28" s="71"/>
      <c r="BS28" s="71"/>
      <c r="BT28" s="71"/>
      <c r="BU28" s="71"/>
      <c r="BV28" s="71"/>
      <c r="BW28" s="71"/>
      <c r="BX28" s="71"/>
      <c r="BY28" s="71"/>
      <c r="BZ28" s="71"/>
      <c r="CA28" s="71"/>
      <c r="CB28" s="71"/>
      <c r="CC28" s="71"/>
    </row>
    <row r="29" spans="2:81" ht="14.25" x14ac:dyDescent="0.2">
      <c r="B29" s="23"/>
      <c r="C29" s="39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5" t="str">
        <f>IF(AO$10&gt;$U$2,"",$F$1)</f>
        <v>│</v>
      </c>
      <c r="AO29" s="21"/>
      <c r="AP29" s="65" t="str">
        <f>IF(AQ$10&gt;$U$2,"",$G$1)</f>
        <v>│</v>
      </c>
      <c r="AQ29" s="21"/>
      <c r="AR29" s="25" t="str">
        <f>IF(AS$10&gt;$U$2,"",$F$1)</f>
        <v>│</v>
      </c>
      <c r="AS29" s="21"/>
      <c r="AT29" s="65" t="str">
        <f>IF(AU$10&gt;$U$2,"",$G$1)</f>
        <v>│</v>
      </c>
      <c r="AU29" s="21"/>
      <c r="AV29" s="25" t="str">
        <f>IF(AW$10&gt;$U$2,"",$F$1)</f>
        <v>│</v>
      </c>
      <c r="AW29" s="21"/>
      <c r="AX29" s="65" t="str">
        <f>IF(AY$10&gt;$U$2,"",$G$1)</f>
        <v>│</v>
      </c>
      <c r="AY29" s="21"/>
      <c r="AZ29" s="25" t="str">
        <f>IF(BA$10&gt;$U$2,"",$F$1)</f>
        <v>│</v>
      </c>
      <c r="BA29" s="21"/>
      <c r="BB29" s="65" t="str">
        <f>IF(BC$10&gt;$U$2,"",$G$1)</f>
        <v>│</v>
      </c>
      <c r="BC29" s="22"/>
      <c r="BD29" s="71"/>
      <c r="BE29" s="71"/>
      <c r="BF29" s="71"/>
      <c r="BG29" s="71"/>
      <c r="BH29" s="71"/>
      <c r="BI29" s="71"/>
      <c r="BJ29" s="71"/>
      <c r="BK29" s="71"/>
      <c r="BL29" s="71"/>
      <c r="BM29" s="71"/>
      <c r="BN29" s="71"/>
      <c r="BO29" s="71"/>
      <c r="BP29" s="71"/>
      <c r="BQ29" s="71"/>
      <c r="BR29" s="71"/>
      <c r="BS29" s="71"/>
      <c r="BT29" s="71"/>
      <c r="BU29" s="71"/>
      <c r="BV29" s="71"/>
      <c r="BW29" s="71"/>
      <c r="BX29" s="71"/>
      <c r="BY29" s="71"/>
      <c r="BZ29" s="71"/>
      <c r="CA29" s="71"/>
      <c r="CB29" s="71"/>
      <c r="CC29" s="71"/>
    </row>
    <row r="30" spans="2:81" x14ac:dyDescent="0.2">
      <c r="B30" s="23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>
        <f>+IF(AM$10&gt;$U$2,"",AK32*$Q$2)</f>
        <v>879.40871405325083</v>
      </c>
      <c r="AN30" s="21"/>
      <c r="AO30" s="21"/>
      <c r="AP30" s="21"/>
      <c r="AQ30" s="21">
        <f>+IF(AQ$10&gt;$U$2,"",AO32*$Q$2)</f>
        <v>879.40871405325083</v>
      </c>
      <c r="AR30" s="21"/>
      <c r="AS30" s="21"/>
      <c r="AT30" s="21"/>
      <c r="AU30" s="21">
        <f>+IF(AU$10&gt;$U$2,"",AS32*$Q$2)</f>
        <v>879.40871405325083</v>
      </c>
      <c r="AV30" s="21"/>
      <c r="AW30" s="21"/>
      <c r="AX30" s="21"/>
      <c r="AY30" s="21">
        <f>+IF(AY$10&gt;$U$2,"",AW32*$Q$2)</f>
        <v>879.40871405325083</v>
      </c>
      <c r="AZ30" s="21"/>
      <c r="BA30" s="21"/>
      <c r="BB30" s="21"/>
      <c r="BC30" s="22">
        <f>+IF(BC$10&gt;$U$2,"",BA32*$Q$2)</f>
        <v>879.40871405325083</v>
      </c>
      <c r="BD30" s="71"/>
      <c r="BE30" s="71"/>
      <c r="BF30" s="71"/>
      <c r="BG30" s="71"/>
      <c r="BH30" s="71"/>
      <c r="BI30" s="71"/>
      <c r="BJ30" s="71"/>
      <c r="BK30" s="71"/>
      <c r="BL30" s="71"/>
      <c r="BM30" s="71"/>
      <c r="BN30" s="71"/>
      <c r="BO30" s="71"/>
      <c r="BP30" s="71"/>
      <c r="BQ30" s="71"/>
      <c r="BR30" s="71"/>
      <c r="BS30" s="71"/>
      <c r="BT30" s="71"/>
      <c r="BU30" s="71"/>
      <c r="BV30" s="71"/>
      <c r="BW30" s="71"/>
      <c r="BX30" s="71"/>
      <c r="BY30" s="71"/>
      <c r="BZ30" s="71"/>
      <c r="CA30" s="71"/>
      <c r="CB30" s="71"/>
      <c r="CC30" s="71"/>
    </row>
    <row r="31" spans="2:81" ht="14.25" x14ac:dyDescent="0.2">
      <c r="B31" s="23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5" t="str">
        <f>IF(AM$10&gt;$U$2,"",$F$1)</f>
        <v>│</v>
      </c>
      <c r="AM31" s="21"/>
      <c r="AN31" s="65" t="str">
        <f>IF(AO$10&gt;$U$2,"",$G$1)</f>
        <v>│</v>
      </c>
      <c r="AO31" s="21"/>
      <c r="AP31" s="25" t="str">
        <f>IF(AQ$10&gt;$U$2,"",$F$1)</f>
        <v>│</v>
      </c>
      <c r="AQ31" s="21"/>
      <c r="AR31" s="65" t="str">
        <f>IF(AS$10&gt;$U$2,"",$G$1)</f>
        <v>│</v>
      </c>
      <c r="AS31" s="21"/>
      <c r="AT31" s="25" t="str">
        <f>IF(AU$10&gt;$U$2,"",$F$1)</f>
        <v>│</v>
      </c>
      <c r="AU31" s="21"/>
      <c r="AV31" s="65" t="str">
        <f>IF(AW$10&gt;$U$2,"",$G$1)</f>
        <v>│</v>
      </c>
      <c r="AW31" s="21"/>
      <c r="AX31" s="25" t="str">
        <f>IF(AY$10&gt;$U$2,"",$F$1)</f>
        <v>│</v>
      </c>
      <c r="AY31" s="21"/>
      <c r="AZ31" s="65" t="str">
        <f>IF(BA$10&gt;$U$2,"",$G$1)</f>
        <v>│</v>
      </c>
      <c r="BA31" s="21"/>
      <c r="BB31" s="25" t="str">
        <f>IF(BC$10&gt;$U$2,"",$F$1)</f>
        <v>│</v>
      </c>
      <c r="BC31" s="22"/>
      <c r="BD31" s="71"/>
      <c r="BE31" s="71"/>
      <c r="BF31" s="71"/>
      <c r="BG31" s="71"/>
      <c r="BH31" s="71"/>
      <c r="BI31" s="71"/>
      <c r="BJ31" s="71"/>
      <c r="BK31" s="71"/>
      <c r="BL31" s="71"/>
      <c r="BM31" s="71"/>
      <c r="BN31" s="71"/>
      <c r="BO31" s="71"/>
      <c r="BP31" s="71"/>
      <c r="BQ31" s="71"/>
      <c r="BR31" s="71"/>
      <c r="BS31" s="71"/>
      <c r="BT31" s="71"/>
      <c r="BU31" s="71"/>
      <c r="BV31" s="71"/>
      <c r="BW31" s="71"/>
      <c r="BX31" s="71"/>
      <c r="BY31" s="71"/>
      <c r="BZ31" s="71"/>
      <c r="CA31" s="71"/>
      <c r="CB31" s="71"/>
      <c r="CC31" s="71"/>
    </row>
    <row r="32" spans="2:81" x14ac:dyDescent="0.2">
      <c r="B32" s="23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>
        <f>+IF(AK$10&gt;$U$2,"",AI34*$Q$2)</f>
        <v>841.7507258107803</v>
      </c>
      <c r="AL32" s="21"/>
      <c r="AM32" s="21"/>
      <c r="AN32" s="21"/>
      <c r="AO32" s="21">
        <f>+IF(AO$10&gt;$U$2,"",AM34*$Q$2)</f>
        <v>841.7507258107803</v>
      </c>
      <c r="AP32" s="21"/>
      <c r="AQ32" s="21"/>
      <c r="AR32" s="21"/>
      <c r="AS32" s="21">
        <f>+IF(AS$10&gt;$U$2,"",AQ34*$Q$2)</f>
        <v>841.7507258107803</v>
      </c>
      <c r="AT32" s="21"/>
      <c r="AU32" s="21"/>
      <c r="AV32" s="21"/>
      <c r="AW32" s="21">
        <f>+IF(AW$10&gt;$U$2,"",AU34*$Q$2)</f>
        <v>841.7507258107803</v>
      </c>
      <c r="AX32" s="21"/>
      <c r="AY32" s="21"/>
      <c r="AZ32" s="21"/>
      <c r="BA32" s="21">
        <f>+IF(BA$10&gt;$U$2,"",AY34*$Q$2)</f>
        <v>841.7507258107803</v>
      </c>
      <c r="BB32" s="21"/>
      <c r="BC32" s="22"/>
      <c r="BD32" s="71"/>
      <c r="BE32" s="71"/>
      <c r="BF32" s="71"/>
      <c r="BG32" s="71"/>
      <c r="BH32" s="71"/>
      <c r="BI32" s="71"/>
      <c r="BJ32" s="71"/>
      <c r="BK32" s="71"/>
      <c r="BL32" s="71"/>
      <c r="BM32" s="71"/>
      <c r="BN32" s="71"/>
      <c r="BO32" s="71"/>
      <c r="BP32" s="71"/>
      <c r="BQ32" s="71"/>
      <c r="BR32" s="71"/>
      <c r="BS32" s="71"/>
      <c r="BT32" s="71"/>
      <c r="BU32" s="71"/>
      <c r="BV32" s="71"/>
      <c r="BW32" s="71"/>
      <c r="BX32" s="71"/>
      <c r="BY32" s="71"/>
      <c r="BZ32" s="71"/>
      <c r="CA32" s="71"/>
      <c r="CB32" s="71"/>
      <c r="CC32" s="71"/>
    </row>
    <row r="33" spans="2:81" ht="14.25" x14ac:dyDescent="0.2">
      <c r="B33" s="23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5" t="str">
        <f>IF(AK$10&gt;$U$2,"",$F$1)</f>
        <v>│</v>
      </c>
      <c r="AK33" s="21"/>
      <c r="AL33" s="65" t="str">
        <f>IF(AM$10&gt;$U$2,"",$G$1)</f>
        <v>│</v>
      </c>
      <c r="AM33" s="21"/>
      <c r="AN33" s="25" t="str">
        <f>IF(AO$10&gt;$U$2,"",$F$1)</f>
        <v>│</v>
      </c>
      <c r="AO33" s="21"/>
      <c r="AP33" s="65" t="str">
        <f>IF(AQ$10&gt;$U$2,"",$G$1)</f>
        <v>│</v>
      </c>
      <c r="AQ33" s="21"/>
      <c r="AR33" s="25" t="str">
        <f>IF(AS$10&gt;$U$2,"",$F$1)</f>
        <v>│</v>
      </c>
      <c r="AS33" s="21"/>
      <c r="AT33" s="65" t="str">
        <f>IF(AU$10&gt;$U$2,"",$G$1)</f>
        <v>│</v>
      </c>
      <c r="AU33" s="21"/>
      <c r="AV33" s="25" t="str">
        <f>IF(AW$10&gt;$U$2,"",$F$1)</f>
        <v>│</v>
      </c>
      <c r="AW33" s="21"/>
      <c r="AX33" s="65" t="str">
        <f>IF(AY$10&gt;$U$2,"",$G$1)</f>
        <v>│</v>
      </c>
      <c r="AY33" s="21"/>
      <c r="AZ33" s="25" t="str">
        <f>IF(BA$10&gt;$U$2,"",$F$1)</f>
        <v>│</v>
      </c>
      <c r="BA33" s="21"/>
      <c r="BB33" s="65" t="str">
        <f>IF(BC$10&gt;$U$2,"",$G$1)</f>
        <v>│</v>
      </c>
      <c r="BC33" s="22"/>
      <c r="BD33" s="71"/>
      <c r="BE33" s="71"/>
      <c r="BF33" s="71"/>
      <c r="BG33" s="71"/>
      <c r="BH33" s="71"/>
      <c r="BI33" s="71"/>
      <c r="BJ33" s="71"/>
      <c r="BK33" s="71"/>
      <c r="BL33" s="71"/>
      <c r="BM33" s="71"/>
      <c r="BN33" s="71"/>
      <c r="BO33" s="71"/>
      <c r="BP33" s="71"/>
      <c r="BQ33" s="71"/>
      <c r="BR33" s="71"/>
      <c r="BS33" s="71"/>
      <c r="BT33" s="71"/>
      <c r="BU33" s="71"/>
      <c r="BV33" s="71"/>
      <c r="BW33" s="71"/>
      <c r="BX33" s="71"/>
      <c r="BY33" s="71"/>
      <c r="BZ33" s="71"/>
      <c r="CA33" s="71"/>
      <c r="CB33" s="71"/>
      <c r="CC33" s="71"/>
    </row>
    <row r="34" spans="2:81" x14ac:dyDescent="0.2">
      <c r="B34" s="23"/>
      <c r="C34" s="21"/>
      <c r="D34" s="21"/>
      <c r="E34" s="39" t="s">
        <v>53</v>
      </c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>
        <f>+IF(AI$10&gt;$U$2,"",AG36*$Q$2)</f>
        <v>805.70532572647551</v>
      </c>
      <c r="AJ34" s="21"/>
      <c r="AK34" s="21"/>
      <c r="AL34" s="21"/>
      <c r="AM34" s="21">
        <f>+IF(AM$10&gt;$U$2,"",AK36*$Q$2)</f>
        <v>805.70532572647551</v>
      </c>
      <c r="AN34" s="21"/>
      <c r="AO34" s="21"/>
      <c r="AP34" s="21"/>
      <c r="AQ34" s="21">
        <f>+IF(AQ$10&gt;$U$2,"",AO36*$Q$2)</f>
        <v>805.70532572647551</v>
      </c>
      <c r="AR34" s="21"/>
      <c r="AS34" s="21"/>
      <c r="AT34" s="21"/>
      <c r="AU34" s="21">
        <f>+IF(AU$10&gt;$U$2,"",AS36*$Q$2)</f>
        <v>805.70532572647551</v>
      </c>
      <c r="AV34" s="21"/>
      <c r="AW34" s="21"/>
      <c r="AX34" s="21"/>
      <c r="AY34" s="21">
        <f>+IF(AY$10&gt;$U$2,"",AW36*$Q$2)</f>
        <v>805.70532572647551</v>
      </c>
      <c r="AZ34" s="21"/>
      <c r="BA34" s="21"/>
      <c r="BB34" s="21"/>
      <c r="BC34" s="22">
        <f>+IF(BC$10&gt;$U$2,"",BA36*$Q$2)</f>
        <v>805.70532572647551</v>
      </c>
      <c r="BD34" s="71"/>
      <c r="BE34" s="71"/>
      <c r="BF34" s="71"/>
      <c r="BG34" s="71"/>
      <c r="BH34" s="71"/>
      <c r="BI34" s="71"/>
      <c r="BJ34" s="71"/>
      <c r="BK34" s="71"/>
      <c r="BL34" s="71"/>
      <c r="BM34" s="71"/>
      <c r="BN34" s="71"/>
      <c r="BO34" s="71"/>
      <c r="BP34" s="71"/>
      <c r="BQ34" s="71"/>
      <c r="BR34" s="71"/>
      <c r="BS34" s="71"/>
      <c r="BT34" s="71"/>
      <c r="BU34" s="71"/>
      <c r="BV34" s="71"/>
      <c r="BW34" s="71"/>
      <c r="BX34" s="71"/>
      <c r="BY34" s="71"/>
      <c r="BZ34" s="71"/>
      <c r="CA34" s="71"/>
      <c r="CB34" s="71"/>
      <c r="CC34" s="71"/>
    </row>
    <row r="35" spans="2:81" ht="14.25" x14ac:dyDescent="0.2">
      <c r="B35" s="23"/>
      <c r="C35" s="21"/>
      <c r="D35" s="21"/>
      <c r="E35" s="39" t="s">
        <v>50</v>
      </c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5" t="str">
        <f>IF(AI$10&gt;$U$2,"",$F$1)</f>
        <v>│</v>
      </c>
      <c r="AI35" s="21"/>
      <c r="AJ35" s="65" t="str">
        <f>IF(AK$10&gt;$U$2,"",$G$1)</f>
        <v>│</v>
      </c>
      <c r="AK35" s="21"/>
      <c r="AL35" s="25" t="str">
        <f>IF(AM$10&gt;$U$2,"",$F$1)</f>
        <v>│</v>
      </c>
      <c r="AM35" s="21"/>
      <c r="AN35" s="65" t="str">
        <f>IF(AO$10&gt;$U$2,"",$G$1)</f>
        <v>│</v>
      </c>
      <c r="AO35" s="21"/>
      <c r="AP35" s="25" t="str">
        <f>IF(AQ$10&gt;$U$2,"",$F$1)</f>
        <v>│</v>
      </c>
      <c r="AQ35" s="21"/>
      <c r="AR35" s="65" t="str">
        <f>IF(AS$10&gt;$U$2,"",$G$1)</f>
        <v>│</v>
      </c>
      <c r="AS35" s="21"/>
      <c r="AT35" s="25" t="str">
        <f>IF(AU$10&gt;$U$2,"",$F$1)</f>
        <v>│</v>
      </c>
      <c r="AU35" s="21"/>
      <c r="AV35" s="65" t="str">
        <f>IF(AW$10&gt;$U$2,"",$G$1)</f>
        <v>│</v>
      </c>
      <c r="AW35" s="21"/>
      <c r="AX35" s="25" t="str">
        <f>IF(AY$10&gt;$U$2,"",$F$1)</f>
        <v>│</v>
      </c>
      <c r="AY35" s="21"/>
      <c r="AZ35" s="65" t="str">
        <f>IF(BA$10&gt;$U$2,"",$G$1)</f>
        <v>│</v>
      </c>
      <c r="BA35" s="21"/>
      <c r="BB35" s="25" t="str">
        <f>IF(BC$10&gt;$U$2,"",$F$1)</f>
        <v>│</v>
      </c>
      <c r="BC35" s="22"/>
      <c r="BD35" s="71"/>
      <c r="BE35" s="71"/>
      <c r="BF35" s="71"/>
      <c r="BG35" s="71"/>
      <c r="BH35" s="71"/>
      <c r="BI35" s="71"/>
      <c r="BJ35" s="71"/>
      <c r="BK35" s="71"/>
      <c r="BL35" s="71"/>
      <c r="BM35" s="71"/>
      <c r="BN35" s="71"/>
      <c r="BO35" s="71"/>
      <c r="BP35" s="71"/>
      <c r="BQ35" s="71"/>
      <c r="BR35" s="71"/>
      <c r="BS35" s="71"/>
      <c r="BT35" s="71"/>
      <c r="BU35" s="71"/>
      <c r="BV35" s="71"/>
      <c r="BW35" s="71"/>
      <c r="BX35" s="71"/>
      <c r="BY35" s="71"/>
      <c r="BZ35" s="71"/>
      <c r="CA35" s="71"/>
      <c r="CB35" s="71"/>
      <c r="CC35" s="71"/>
    </row>
    <row r="36" spans="2:81" x14ac:dyDescent="0.2">
      <c r="B36" s="23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>
        <f>+IF(AG$10&gt;$U$2,"",AE38*$Q$2)</f>
        <v>771.20345964505043</v>
      </c>
      <c r="AH36" s="21"/>
      <c r="AI36" s="21"/>
      <c r="AJ36" s="21"/>
      <c r="AK36" s="21">
        <f>+IF(AK$10&gt;$U$2,"",AI38*$Q$2)</f>
        <v>771.20345964505043</v>
      </c>
      <c r="AL36" s="21"/>
      <c r="AM36" s="21"/>
      <c r="AN36" s="21"/>
      <c r="AO36" s="21">
        <f>+IF(AO$10&gt;$U$2,"",AM38*$Q$2)</f>
        <v>771.20345964505043</v>
      </c>
      <c r="AP36" s="21"/>
      <c r="AQ36" s="21"/>
      <c r="AR36" s="21"/>
      <c r="AS36" s="21">
        <f>+IF(AS$10&gt;$U$2,"",AQ38*$Q$2)</f>
        <v>771.20345964505043</v>
      </c>
      <c r="AT36" s="21"/>
      <c r="AU36" s="21"/>
      <c r="AV36" s="21"/>
      <c r="AW36" s="21">
        <f>+IF(AW$10&gt;$U$2,"",AU38*$Q$2)</f>
        <v>771.20345964505043</v>
      </c>
      <c r="AX36" s="21"/>
      <c r="AY36" s="21"/>
      <c r="AZ36" s="21"/>
      <c r="BA36" s="21">
        <f>+IF(BA$10&gt;$U$2,"",AY38*$Q$2)</f>
        <v>771.20345964505043</v>
      </c>
      <c r="BB36" s="21"/>
      <c r="BC36" s="22"/>
      <c r="BD36" s="71"/>
      <c r="BE36" s="71"/>
      <c r="BF36" s="71"/>
      <c r="BG36" s="71"/>
      <c r="BH36" s="71"/>
      <c r="BI36" s="71"/>
      <c r="BJ36" s="71"/>
      <c r="BK36" s="71"/>
      <c r="BL36" s="71"/>
      <c r="BM36" s="71"/>
      <c r="BN36" s="71"/>
      <c r="BO36" s="71"/>
      <c r="BP36" s="71"/>
      <c r="BQ36" s="71"/>
      <c r="BR36" s="71"/>
      <c r="BS36" s="71"/>
      <c r="BT36" s="71"/>
      <c r="BU36" s="71"/>
      <c r="BV36" s="71"/>
      <c r="BW36" s="71"/>
      <c r="BX36" s="71"/>
      <c r="BY36" s="71"/>
      <c r="BZ36" s="71"/>
      <c r="CA36" s="71"/>
      <c r="CB36" s="71"/>
      <c r="CC36" s="71"/>
    </row>
    <row r="37" spans="2:81" ht="14.25" x14ac:dyDescent="0.2">
      <c r="B37" s="23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5" t="str">
        <f>IF(AG$10&gt;$U$2,"",$F$1)</f>
        <v>│</v>
      </c>
      <c r="AG37" s="21"/>
      <c r="AH37" s="65" t="str">
        <f>IF(AI$10&gt;$U$2,"",$G$1)</f>
        <v>│</v>
      </c>
      <c r="AI37" s="21"/>
      <c r="AJ37" s="25" t="str">
        <f>IF(AK$10&gt;$U$2,"",$F$1)</f>
        <v>│</v>
      </c>
      <c r="AK37" s="21"/>
      <c r="AL37" s="65" t="str">
        <f>IF(AM$10&gt;$U$2,"",$G$1)</f>
        <v>│</v>
      </c>
      <c r="AM37" s="21"/>
      <c r="AN37" s="25" t="str">
        <f>IF(AO$10&gt;$U$2,"",$F$1)</f>
        <v>│</v>
      </c>
      <c r="AO37" s="21"/>
      <c r="AP37" s="65" t="str">
        <f>IF(AQ$10&gt;$U$2,"",$G$1)</f>
        <v>│</v>
      </c>
      <c r="AQ37" s="21"/>
      <c r="AR37" s="25" t="str">
        <f>IF(AS$10&gt;$U$2,"",$F$1)</f>
        <v>│</v>
      </c>
      <c r="AS37" s="21"/>
      <c r="AT37" s="65" t="str">
        <f>IF(AU$10&gt;$U$2,"",$G$1)</f>
        <v>│</v>
      </c>
      <c r="AU37" s="21"/>
      <c r="AV37" s="25" t="str">
        <f>IF(AW$10&gt;$U$2,"",$F$1)</f>
        <v>│</v>
      </c>
      <c r="AW37" s="21"/>
      <c r="AX37" s="65" t="str">
        <f>IF(AY$10&gt;$U$2,"",$G$1)</f>
        <v>│</v>
      </c>
      <c r="AY37" s="21"/>
      <c r="AZ37" s="25" t="str">
        <f>IF(BA$10&gt;$U$2,"",$F$1)</f>
        <v>│</v>
      </c>
      <c r="BA37" s="21"/>
      <c r="BB37" s="65" t="str">
        <f>IF(BC$10&gt;$U$2,"",$G$1)</f>
        <v>│</v>
      </c>
      <c r="BC37" s="22"/>
      <c r="BD37" s="71"/>
      <c r="BE37" s="71"/>
      <c r="BF37" s="71"/>
      <c r="BG37" s="71"/>
      <c r="BH37" s="71"/>
      <c r="BI37" s="71"/>
      <c r="BJ37" s="71"/>
      <c r="BK37" s="71"/>
      <c r="BL37" s="71"/>
      <c r="BM37" s="71"/>
      <c r="BN37" s="71"/>
      <c r="BO37" s="71"/>
      <c r="BP37" s="71"/>
      <c r="BQ37" s="71"/>
      <c r="BR37" s="71"/>
      <c r="BS37" s="71"/>
      <c r="BT37" s="71"/>
      <c r="BU37" s="71"/>
      <c r="BV37" s="71"/>
      <c r="BW37" s="71"/>
      <c r="BX37" s="71"/>
      <c r="BY37" s="71"/>
      <c r="BZ37" s="71"/>
      <c r="CA37" s="71"/>
      <c r="CB37" s="71"/>
      <c r="CC37" s="71"/>
    </row>
    <row r="38" spans="2:81" x14ac:dyDescent="0.2">
      <c r="B38" s="23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>
        <f>+IF(AE$10&gt;$U$2,"",AC40*$Q$2)</f>
        <v>738.1790304441962</v>
      </c>
      <c r="AF38" s="21"/>
      <c r="AG38" s="21"/>
      <c r="AH38" s="21"/>
      <c r="AI38" s="21">
        <f>+IF(AI$10&gt;$U$2,"",AG40*$Q$2)</f>
        <v>738.1790304441962</v>
      </c>
      <c r="AJ38" s="21"/>
      <c r="AK38" s="21"/>
      <c r="AL38" s="21"/>
      <c r="AM38" s="21">
        <f>+IF(AM$10&gt;$U$2,"",AK40*$Q$2)</f>
        <v>738.1790304441962</v>
      </c>
      <c r="AN38" s="21"/>
      <c r="AO38" s="21"/>
      <c r="AP38" s="21"/>
      <c r="AQ38" s="21">
        <f>+IF(AQ$10&gt;$U$2,"",AO40*$Q$2)</f>
        <v>738.1790304441962</v>
      </c>
      <c r="AR38" s="21"/>
      <c r="AS38" s="21"/>
      <c r="AT38" s="21"/>
      <c r="AU38" s="21">
        <f>+IF(AU$10&gt;$U$2,"",AS40*$Q$2)</f>
        <v>738.1790304441962</v>
      </c>
      <c r="AV38" s="21"/>
      <c r="AW38" s="21"/>
      <c r="AX38" s="21"/>
      <c r="AY38" s="21">
        <f>+IF(AY$10&gt;$U$2,"",AW40*$Q$2)</f>
        <v>738.1790304441962</v>
      </c>
      <c r="AZ38" s="21"/>
      <c r="BA38" s="21"/>
      <c r="BB38" s="21"/>
      <c r="BC38" s="22">
        <f>+IF(BC$10&gt;$U$2,"",BA40*$Q$2)</f>
        <v>738.1790304441962</v>
      </c>
      <c r="BD38" s="71"/>
      <c r="BE38" s="71"/>
      <c r="BF38" s="71"/>
      <c r="BG38" s="71"/>
      <c r="BH38" s="71"/>
      <c r="BI38" s="71"/>
      <c r="BJ38" s="71"/>
      <c r="BK38" s="71"/>
      <c r="BL38" s="71"/>
      <c r="BM38" s="71"/>
      <c r="BN38" s="71"/>
      <c r="BO38" s="71"/>
      <c r="BP38" s="71"/>
      <c r="BQ38" s="71"/>
      <c r="BR38" s="71"/>
      <c r="BS38" s="71"/>
      <c r="BT38" s="71"/>
      <c r="BU38" s="71"/>
      <c r="BV38" s="71"/>
      <c r="BW38" s="71"/>
      <c r="BX38" s="71"/>
      <c r="BY38" s="71"/>
      <c r="BZ38" s="71"/>
      <c r="CA38" s="71"/>
      <c r="CB38" s="71"/>
      <c r="CC38" s="71"/>
    </row>
    <row r="39" spans="2:81" ht="14.25" x14ac:dyDescent="0.2">
      <c r="B39" s="23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5" t="str">
        <f>IF(AE$10&gt;$U$2,"",$F$1)</f>
        <v>│</v>
      </c>
      <c r="AE39" s="21"/>
      <c r="AF39" s="65" t="str">
        <f>IF(AG$10&gt;$U$2,"",$G$1)</f>
        <v>│</v>
      </c>
      <c r="AG39" s="21"/>
      <c r="AH39" s="25" t="str">
        <f>IF(AI$10&gt;$U$2,"",$F$1)</f>
        <v>│</v>
      </c>
      <c r="AI39" s="21"/>
      <c r="AJ39" s="65" t="str">
        <f>IF(AK$10&gt;$U$2,"",$G$1)</f>
        <v>│</v>
      </c>
      <c r="AK39" s="21"/>
      <c r="AL39" s="25" t="str">
        <f>IF(AM$10&gt;$U$2,"",$F$1)</f>
        <v>│</v>
      </c>
      <c r="AM39" s="21"/>
      <c r="AN39" s="21"/>
      <c r="AO39" s="21"/>
      <c r="AP39" s="25" t="str">
        <f>IF(AQ$10&gt;$U$2,"",$F$1)</f>
        <v>│</v>
      </c>
      <c r="AQ39" s="21"/>
      <c r="AR39" s="65" t="str">
        <f>IF(AS$10&gt;$U$2,"",$G$1)</f>
        <v>│</v>
      </c>
      <c r="AS39" s="21"/>
      <c r="AT39" s="25" t="str">
        <f>IF(AU$10&gt;$U$2,"",$F$1)</f>
        <v>│</v>
      </c>
      <c r="AU39" s="21"/>
      <c r="AV39" s="65" t="str">
        <f>IF(AW$10&gt;$U$2,"",$G$1)</f>
        <v>│</v>
      </c>
      <c r="AW39" s="21"/>
      <c r="AX39" s="25" t="str">
        <f>IF(AY$10&gt;$U$2,"",$F$1)</f>
        <v>│</v>
      </c>
      <c r="AY39" s="21"/>
      <c r="AZ39" s="65" t="str">
        <f>IF(BA$10&gt;$U$2,"",$G$1)</f>
        <v>│</v>
      </c>
      <c r="BA39" s="21"/>
      <c r="BB39" s="25" t="str">
        <f>IF(BC$10&gt;$U$2,"",$F$1)</f>
        <v>│</v>
      </c>
      <c r="BC39" s="22"/>
      <c r="BD39" s="71"/>
      <c r="BE39" s="71"/>
      <c r="BF39" s="71"/>
      <c r="BG39" s="71"/>
      <c r="BH39" s="71"/>
      <c r="BI39" s="71"/>
      <c r="BJ39" s="71"/>
      <c r="BK39" s="71"/>
      <c r="BL39" s="71"/>
      <c r="BM39" s="71"/>
      <c r="BN39" s="71"/>
      <c r="BO39" s="71"/>
      <c r="BP39" s="71"/>
      <c r="BQ39" s="71"/>
      <c r="BR39" s="71"/>
      <c r="BS39" s="71"/>
      <c r="BT39" s="71"/>
      <c r="BU39" s="71"/>
      <c r="BV39" s="71"/>
      <c r="BW39" s="71"/>
      <c r="BX39" s="71"/>
      <c r="BY39" s="71"/>
      <c r="BZ39" s="71"/>
      <c r="CA39" s="71"/>
      <c r="CB39" s="71"/>
      <c r="CC39" s="71"/>
    </row>
    <row r="40" spans="2:81" x14ac:dyDescent="0.2">
      <c r="B40" s="23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0"/>
      <c r="AC40" s="21">
        <f>+IF(AC$10&gt;$U$2,"",AA42*$Q$2)</f>
        <v>706.56877140868869</v>
      </c>
      <c r="AD40" s="21"/>
      <c r="AE40" s="21"/>
      <c r="AF40" s="21"/>
      <c r="AG40" s="21">
        <f>+IF(AG$10&gt;$U$2,"",AE42*$Q$2)</f>
        <v>706.56877140868869</v>
      </c>
      <c r="AH40" s="21"/>
      <c r="AI40" s="21"/>
      <c r="AJ40" s="21"/>
      <c r="AK40" s="21">
        <f>+IF(AK$10&gt;$U$2,"",AI42*$Q$2)</f>
        <v>706.56877140868869</v>
      </c>
      <c r="AL40" s="21"/>
      <c r="AM40" s="21"/>
      <c r="AN40" s="21"/>
      <c r="AO40" s="21">
        <f>+IF(AO$10&gt;$U$2,"",AM42*$Q$2)</f>
        <v>706.56877140868869</v>
      </c>
      <c r="AP40" s="21"/>
      <c r="AQ40" s="21"/>
      <c r="AR40" s="21"/>
      <c r="AS40" s="21">
        <f>+IF(AS$10&gt;$U$2,"",AQ42*$Q$2)</f>
        <v>706.56877140868869</v>
      </c>
      <c r="AT40" s="21"/>
      <c r="AU40" s="21"/>
      <c r="AV40" s="21"/>
      <c r="AW40" s="21">
        <f>+IF(AW$10&gt;$U$2,"",AU42*$Q$2)</f>
        <v>706.56877140868869</v>
      </c>
      <c r="AX40" s="21"/>
      <c r="AY40" s="21"/>
      <c r="AZ40" s="21"/>
      <c r="BA40" s="21">
        <f>+IF(BA$10&gt;$U$2,"",AY42*$Q$2)</f>
        <v>706.56877140868869</v>
      </c>
      <c r="BB40" s="21"/>
      <c r="BC40" s="22"/>
      <c r="BD40" s="71"/>
      <c r="BE40" s="71"/>
      <c r="BF40" s="71"/>
      <c r="BG40" s="71"/>
      <c r="BH40" s="71"/>
      <c r="BI40" s="71"/>
      <c r="BJ40" s="71"/>
      <c r="BK40" s="71"/>
      <c r="BL40" s="71"/>
      <c r="BM40" s="71"/>
      <c r="BN40" s="71"/>
      <c r="BO40" s="71"/>
      <c r="BP40" s="71"/>
      <c r="BQ40" s="71"/>
      <c r="BR40" s="71"/>
      <c r="BS40" s="71"/>
      <c r="BT40" s="71"/>
      <c r="BU40" s="71"/>
      <c r="BV40" s="71"/>
      <c r="BW40" s="71"/>
      <c r="BX40" s="71"/>
      <c r="BY40" s="71"/>
      <c r="BZ40" s="71"/>
      <c r="CA40" s="71"/>
      <c r="CB40" s="71"/>
      <c r="CC40" s="71"/>
    </row>
    <row r="41" spans="2:81" ht="14.25" x14ac:dyDescent="0.2">
      <c r="B41" s="23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5" t="str">
        <f>IF(AC$10&gt;$U$2,"",$F$1)</f>
        <v>│</v>
      </c>
      <c r="AC41" s="21"/>
      <c r="AD41" s="65" t="str">
        <f>IF(AE$10&gt;$U$2,"",$G$1)</f>
        <v>│</v>
      </c>
      <c r="AE41" s="21"/>
      <c r="AF41" s="25" t="str">
        <f>IF(AG$10&gt;$U$2,"",$F$1)</f>
        <v>│</v>
      </c>
      <c r="AG41" s="21"/>
      <c r="AH41" s="65" t="str">
        <f>IF(AI$10&gt;$U$2,"",$G$1)</f>
        <v>│</v>
      </c>
      <c r="AI41" s="21"/>
      <c r="AJ41" s="25" t="str">
        <f>IF(AK$10&gt;$U$2,"",$F$1)</f>
        <v>│</v>
      </c>
      <c r="AK41" s="21"/>
      <c r="AL41" s="65" t="str">
        <f>IF(AM$10&gt;$U$2,"",$G$1)</f>
        <v>│</v>
      </c>
      <c r="AM41" s="21"/>
      <c r="AN41" s="25" t="str">
        <f>IF(AO$10&gt;$U$2,"",$F$1)</f>
        <v>│</v>
      </c>
      <c r="AO41" s="21"/>
      <c r="AP41" s="65" t="str">
        <f>IF(AQ$10&gt;$U$2,"",$G$1)</f>
        <v>│</v>
      </c>
      <c r="AQ41" s="21"/>
      <c r="AR41" s="25" t="str">
        <f>IF(AS$10&gt;$U$2,"",$F$1)</f>
        <v>│</v>
      </c>
      <c r="AS41" s="21"/>
      <c r="AT41" s="65" t="str">
        <f>IF(AU$10&gt;$U$2,"",$G$1)</f>
        <v>│</v>
      </c>
      <c r="AU41" s="21"/>
      <c r="AV41" s="25" t="str">
        <f>IF(AW$10&gt;$U$2,"",$F$1)</f>
        <v>│</v>
      </c>
      <c r="AW41" s="21"/>
      <c r="AX41" s="65" t="str">
        <f>IF(AY$10&gt;$U$2,"",$G$1)</f>
        <v>│</v>
      </c>
      <c r="AY41" s="21"/>
      <c r="AZ41" s="25" t="str">
        <f>IF(BA$10&gt;$U$2,"",$F$1)</f>
        <v>│</v>
      </c>
      <c r="BA41" s="21"/>
      <c r="BB41" s="65" t="str">
        <f>IF(BC$10&gt;$U$2,"",$G$1)</f>
        <v>│</v>
      </c>
      <c r="BC41" s="22"/>
      <c r="BD41" s="71"/>
      <c r="BE41" s="71"/>
      <c r="BF41" s="71"/>
      <c r="BG41" s="71"/>
      <c r="BH41" s="71"/>
      <c r="BI41" s="71"/>
      <c r="BJ41" s="71"/>
      <c r="BK41" s="71"/>
      <c r="BL41" s="71"/>
      <c r="BM41" s="71"/>
      <c r="BN41" s="71"/>
      <c r="BO41" s="71"/>
      <c r="BP41" s="71"/>
      <c r="BQ41" s="71"/>
      <c r="BR41" s="71"/>
      <c r="BS41" s="71"/>
      <c r="BT41" s="71"/>
      <c r="BU41" s="71"/>
      <c r="BV41" s="71"/>
      <c r="BW41" s="71"/>
      <c r="BX41" s="71"/>
      <c r="BY41" s="71"/>
      <c r="BZ41" s="71"/>
      <c r="CA41" s="71"/>
      <c r="CB41" s="71"/>
      <c r="CC41" s="71"/>
    </row>
    <row r="42" spans="2:81" x14ac:dyDescent="0.2">
      <c r="B42" s="23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>
        <f>+IF(AA$10&gt;$U$2,"",Y44*$Q$2)</f>
        <v>676.3121250268631</v>
      </c>
      <c r="AB42" s="21"/>
      <c r="AC42" s="21"/>
      <c r="AD42" s="21"/>
      <c r="AE42" s="21">
        <f>+IF(AE$10&gt;$U$2,"",AC44*$Q$2)</f>
        <v>676.3121250268631</v>
      </c>
      <c r="AF42" s="21"/>
      <c r="AG42" s="21"/>
      <c r="AH42" s="21"/>
      <c r="AI42" s="21">
        <f>+IF(AI$10&gt;$U$2,"",AG44*$Q$2)</f>
        <v>676.3121250268631</v>
      </c>
      <c r="AJ42" s="21"/>
      <c r="AK42" s="21"/>
      <c r="AL42" s="21"/>
      <c r="AM42" s="21">
        <f>+IF(AM$10&gt;$U$2,"",AK44*$Q$2)</f>
        <v>676.3121250268631</v>
      </c>
      <c r="AN42" s="21"/>
      <c r="AO42" s="21"/>
      <c r="AP42" s="21"/>
      <c r="AQ42" s="21">
        <f>+IF(AQ$10&gt;$U$2,"",AO44*$Q$2)</f>
        <v>676.3121250268631</v>
      </c>
      <c r="AR42" s="21"/>
      <c r="AS42" s="21"/>
      <c r="AT42" s="21"/>
      <c r="AU42" s="21">
        <f>+IF(AU$10&gt;$U$2,"",AS44*$Q$2)</f>
        <v>676.3121250268631</v>
      </c>
      <c r="AV42" s="21"/>
      <c r="AW42" s="21"/>
      <c r="AX42" s="21"/>
      <c r="AY42" s="21">
        <f>+IF(AY$10&gt;$U$2,"",AW44*$Q$2)</f>
        <v>676.3121250268631</v>
      </c>
      <c r="AZ42" s="21"/>
      <c r="BA42" s="21"/>
      <c r="BB42" s="21"/>
      <c r="BC42" s="22">
        <f>+IF(BC$10&gt;$U$2,"",BA44*$Q$2)</f>
        <v>676.3121250268631</v>
      </c>
      <c r="BD42" s="71"/>
      <c r="BE42" s="71"/>
      <c r="BF42" s="71"/>
      <c r="BG42" s="71"/>
      <c r="BH42" s="71"/>
      <c r="BI42" s="71"/>
      <c r="BJ42" s="71"/>
      <c r="BK42" s="71"/>
      <c r="BL42" s="71"/>
      <c r="BM42" s="71"/>
      <c r="BN42" s="71"/>
      <c r="BO42" s="71"/>
      <c r="BP42" s="71"/>
      <c r="BQ42" s="71"/>
      <c r="BR42" s="71"/>
      <c r="BS42" s="71"/>
      <c r="BT42" s="71"/>
      <c r="BU42" s="71"/>
      <c r="BV42" s="71"/>
      <c r="BW42" s="71"/>
      <c r="BX42" s="71"/>
      <c r="BY42" s="71"/>
      <c r="BZ42" s="71"/>
      <c r="CA42" s="71"/>
      <c r="CB42" s="71"/>
      <c r="CC42" s="71"/>
    </row>
    <row r="43" spans="2:81" ht="14.25" x14ac:dyDescent="0.2">
      <c r="B43" s="23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5" t="str">
        <f>IF(AA$10&gt;$U$2,"",$F$1)</f>
        <v>│</v>
      </c>
      <c r="AA43" s="21"/>
      <c r="AB43" s="65" t="str">
        <f>IF(AC$10&gt;$U$2,"",$G$1)</f>
        <v>│</v>
      </c>
      <c r="AC43" s="21"/>
      <c r="AD43" s="25" t="str">
        <f>IF(AE$10&gt;$U$2,"",$F$1)</f>
        <v>│</v>
      </c>
      <c r="AE43" s="21"/>
      <c r="AF43" s="65" t="str">
        <f>IF(AG$10&gt;$U$2,"",$G$1)</f>
        <v>│</v>
      </c>
      <c r="AG43" s="21"/>
      <c r="AH43" s="25" t="str">
        <f>IF(AI$10&gt;$U$2,"",$F$1)</f>
        <v>│</v>
      </c>
      <c r="AI43" s="21"/>
      <c r="AJ43" s="65" t="str">
        <f>IF(AK$10&gt;$U$2,"",$G$1)</f>
        <v>│</v>
      </c>
      <c r="AK43" s="21"/>
      <c r="AL43" s="25" t="str">
        <f>IF(AM$10&gt;$U$2,"",$F$1)</f>
        <v>│</v>
      </c>
      <c r="AM43" s="21"/>
      <c r="AN43" s="65" t="str">
        <f>IF(AO$10&gt;$U$2,"",$G$1)</f>
        <v>│</v>
      </c>
      <c r="AO43" s="21"/>
      <c r="AP43" s="25" t="str">
        <f>IF(AQ$10&gt;$U$2,"",$F$1)</f>
        <v>│</v>
      </c>
      <c r="AQ43" s="21"/>
      <c r="AR43" s="65" t="str">
        <f>IF(AS$10&gt;$U$2,"",$G$1)</f>
        <v>│</v>
      </c>
      <c r="AS43" s="21"/>
      <c r="AT43" s="25" t="str">
        <f>IF(AU$10&gt;$U$2,"",$F$1)</f>
        <v>│</v>
      </c>
      <c r="AU43" s="21"/>
      <c r="AV43" s="65" t="str">
        <f>IF(AW$10&gt;$U$2,"",$G$1)</f>
        <v>│</v>
      </c>
      <c r="AW43" s="21"/>
      <c r="AX43" s="25" t="str">
        <f>IF(AY$10&gt;$U$2,"",$F$1)</f>
        <v>│</v>
      </c>
      <c r="AY43" s="21"/>
      <c r="AZ43" s="65" t="str">
        <f>IF(BA$10&gt;$U$2,"",$G$1)</f>
        <v>│</v>
      </c>
      <c r="BA43" s="21"/>
      <c r="BB43" s="25" t="str">
        <f>IF(BC$10&gt;$U$2,"",$F$1)</f>
        <v>│</v>
      </c>
      <c r="BC43" s="22"/>
      <c r="BD43" s="71"/>
      <c r="BE43" s="71"/>
      <c r="BF43" s="71"/>
      <c r="BG43" s="71"/>
      <c r="BH43" s="71"/>
      <c r="BI43" s="71"/>
      <c r="BJ43" s="71"/>
      <c r="BK43" s="71"/>
      <c r="BL43" s="71"/>
      <c r="BM43" s="71"/>
      <c r="BN43" s="71"/>
      <c r="BO43" s="71"/>
      <c r="BP43" s="71"/>
      <c r="BQ43" s="71"/>
      <c r="BR43" s="71"/>
      <c r="BS43" s="71"/>
      <c r="BT43" s="71"/>
      <c r="BU43" s="71"/>
      <c r="BV43" s="71"/>
      <c r="BW43" s="71"/>
      <c r="BX43" s="71"/>
      <c r="BY43" s="71"/>
      <c r="BZ43" s="71"/>
      <c r="CA43" s="71"/>
      <c r="CB43" s="71"/>
      <c r="CC43" s="71"/>
    </row>
    <row r="44" spans="2:81" x14ac:dyDescent="0.2">
      <c r="B44" s="23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0"/>
      <c r="Y44" s="21">
        <f>+IF(Y$10&gt;$U$2,"",W46*$Q$2)</f>
        <v>647.3511269772581</v>
      </c>
      <c r="Z44" s="21"/>
      <c r="AA44" s="21"/>
      <c r="AB44" s="21"/>
      <c r="AC44" s="21">
        <f>+IF(AC$10&gt;$U$2,"",AA46*$Q$2)</f>
        <v>647.3511269772581</v>
      </c>
      <c r="AD44" s="21"/>
      <c r="AE44" s="21"/>
      <c r="AF44" s="21"/>
      <c r="AG44" s="21">
        <f>+IF(AG$10&gt;$U$2,"",AE46*$Q$2)</f>
        <v>647.3511269772581</v>
      </c>
      <c r="AH44" s="21"/>
      <c r="AI44" s="21"/>
      <c r="AJ44" s="21"/>
      <c r="AK44" s="21">
        <f>+IF(AK$10&gt;$U$2,"",AI46*$Q$2)</f>
        <v>647.3511269772581</v>
      </c>
      <c r="AL44" s="21"/>
      <c r="AM44" s="21"/>
      <c r="AN44" s="21"/>
      <c r="AO44" s="21">
        <f>+IF(AO$10&gt;$U$2,"",AM46*$Q$2)</f>
        <v>647.3511269772581</v>
      </c>
      <c r="AP44" s="21"/>
      <c r="AQ44" s="21"/>
      <c r="AR44" s="21"/>
      <c r="AS44" s="21">
        <f>+IF(AS$10&gt;$U$2,"",AQ46*$Q$2)</f>
        <v>647.3511269772581</v>
      </c>
      <c r="AT44" s="21"/>
      <c r="AU44" s="21"/>
      <c r="AV44" s="21"/>
      <c r="AW44" s="21">
        <f>+IF(AW$10&gt;$U$2,"",AU46*$Q$2)</f>
        <v>647.3511269772581</v>
      </c>
      <c r="AX44" s="21"/>
      <c r="AY44" s="21"/>
      <c r="AZ44" s="21"/>
      <c r="BA44" s="21">
        <f>+IF(BA$10&gt;$U$2,"",AY46*$Q$2)</f>
        <v>647.3511269772581</v>
      </c>
      <c r="BB44" s="21"/>
      <c r="BC44" s="22"/>
      <c r="BD44" s="71"/>
      <c r="BE44" s="71"/>
      <c r="BF44" s="71"/>
      <c r="BG44" s="71"/>
      <c r="BH44" s="71"/>
      <c r="BI44" s="71"/>
      <c r="BJ44" s="71"/>
      <c r="BK44" s="71"/>
      <c r="BL44" s="71"/>
      <c r="BM44" s="71"/>
      <c r="BN44" s="71"/>
      <c r="BO44" s="71"/>
      <c r="BP44" s="71"/>
      <c r="BQ44" s="71"/>
      <c r="BR44" s="71"/>
      <c r="BS44" s="71"/>
      <c r="BT44" s="71"/>
      <c r="BU44" s="71"/>
      <c r="BV44" s="71"/>
      <c r="BW44" s="71"/>
      <c r="BX44" s="71"/>
      <c r="BY44" s="71"/>
      <c r="BZ44" s="71"/>
      <c r="CA44" s="71"/>
      <c r="CB44" s="71"/>
      <c r="CC44" s="71"/>
    </row>
    <row r="45" spans="2:81" ht="14.25" x14ac:dyDescent="0.2">
      <c r="B45" s="23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5" t="str">
        <f>IF(Y$10&gt;$U$2,"",$F$1)</f>
        <v>│</v>
      </c>
      <c r="Y45" s="21"/>
      <c r="Z45" s="65" t="str">
        <f>IF(AA$10&gt;$U$2,"",$G$1)</f>
        <v>│</v>
      </c>
      <c r="AA45" s="21"/>
      <c r="AB45" s="25" t="str">
        <f>IF(AC$10&gt;$U$2,"",$F$1)</f>
        <v>│</v>
      </c>
      <c r="AC45" s="21"/>
      <c r="AD45" s="65" t="str">
        <f>IF(AE$10&gt;$U$2,"",$G$1)</f>
        <v>│</v>
      </c>
      <c r="AE45" s="21"/>
      <c r="AF45" s="25" t="str">
        <f>IF(AG$10&gt;$U$2,"",$F$1)</f>
        <v>│</v>
      </c>
      <c r="AG45" s="21"/>
      <c r="AH45" s="65" t="str">
        <f>IF(AI$10&gt;$U$2,"",$G$1)</f>
        <v>│</v>
      </c>
      <c r="AI45" s="21"/>
      <c r="AJ45" s="25" t="str">
        <f>IF(AK$10&gt;$U$2,"",$F$1)</f>
        <v>│</v>
      </c>
      <c r="AK45" s="21"/>
      <c r="AL45" s="65" t="str">
        <f>IF(AM$10&gt;$U$2,"",$G$1)</f>
        <v>│</v>
      </c>
      <c r="AM45" s="21"/>
      <c r="AN45" s="25" t="str">
        <f>IF(AO$10&gt;$U$2,"",$F$1)</f>
        <v>│</v>
      </c>
      <c r="AO45" s="21"/>
      <c r="AP45" s="65" t="str">
        <f>IF(AQ$10&gt;$U$2,"",$G$1)</f>
        <v>│</v>
      </c>
      <c r="AQ45" s="21"/>
      <c r="AR45" s="25" t="str">
        <f>IF(AS$10&gt;$U$2,"",$F$1)</f>
        <v>│</v>
      </c>
      <c r="AS45" s="21"/>
      <c r="AT45" s="65" t="str">
        <f>IF(AU$10&gt;$U$2,"",$G$1)</f>
        <v>│</v>
      </c>
      <c r="AU45" s="21"/>
      <c r="AV45" s="25" t="str">
        <f>IF(AW$10&gt;$U$2,"",$F$1)</f>
        <v>│</v>
      </c>
      <c r="AW45" s="21"/>
      <c r="AX45" s="65" t="str">
        <f>IF(AY$10&gt;$U$2,"",$G$1)</f>
        <v>│</v>
      </c>
      <c r="AY45" s="21"/>
      <c r="AZ45" s="25" t="str">
        <f>IF(BA$10&gt;$U$2,"",$F$1)</f>
        <v>│</v>
      </c>
      <c r="BA45" s="21"/>
      <c r="BB45" s="65" t="str">
        <f>IF(BC$10&gt;$U$2,"",$G$1)</f>
        <v>│</v>
      </c>
      <c r="BC45" s="22"/>
      <c r="BD45" s="71"/>
      <c r="BE45" s="71"/>
      <c r="BF45" s="71"/>
      <c r="BG45" s="71"/>
      <c r="BH45" s="71"/>
      <c r="BI45" s="71"/>
      <c r="BJ45" s="71"/>
      <c r="BK45" s="71"/>
      <c r="BL45" s="71"/>
      <c r="BM45" s="71"/>
      <c r="BN45" s="71"/>
      <c r="BO45" s="71"/>
      <c r="BP45" s="71"/>
      <c r="BQ45" s="71"/>
      <c r="BR45" s="71"/>
      <c r="BS45" s="71"/>
      <c r="BT45" s="71"/>
      <c r="BU45" s="71"/>
      <c r="BV45" s="71"/>
      <c r="BW45" s="71"/>
      <c r="BX45" s="71"/>
      <c r="BY45" s="71"/>
      <c r="BZ45" s="71"/>
      <c r="CA45" s="71"/>
      <c r="CB45" s="71"/>
      <c r="CC45" s="71"/>
    </row>
    <row r="46" spans="2:81" x14ac:dyDescent="0.2">
      <c r="B46" s="23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>
        <f>+IF(W$10&gt;$U$2,"",U48*$Q$2)</f>
        <v>619.63029508317766</v>
      </c>
      <c r="X46" s="21"/>
      <c r="Y46" s="21"/>
      <c r="Z46" s="21"/>
      <c r="AA46" s="21">
        <f>+IF(AA$10&gt;$U$2,"",Y48*$Q$2)</f>
        <v>619.63029508317766</v>
      </c>
      <c r="AB46" s="21"/>
      <c r="AC46" s="21"/>
      <c r="AD46" s="21"/>
      <c r="AE46" s="21">
        <f>+IF(AE$10&gt;$U$2,"",AC48*$Q$2)</f>
        <v>619.63029508317766</v>
      </c>
      <c r="AF46" s="21"/>
      <c r="AG46" s="21"/>
      <c r="AH46" s="21"/>
      <c r="AI46" s="21">
        <f>+IF(AI$10&gt;$U$2,"",AG48*$Q$2)</f>
        <v>619.63029508317766</v>
      </c>
      <c r="AJ46" s="21"/>
      <c r="AK46" s="21"/>
      <c r="AL46" s="21"/>
      <c r="AM46" s="21">
        <f>+IF(AM$10&gt;$U$2,"",AK48*$Q$2)</f>
        <v>619.63029508317766</v>
      </c>
      <c r="AN46" s="21"/>
      <c r="AO46" s="21"/>
      <c r="AP46" s="21"/>
      <c r="AQ46" s="21">
        <f>+IF(AQ$10&gt;$U$2,"",AO48*$Q$2)</f>
        <v>619.63029508317766</v>
      </c>
      <c r="AR46" s="21"/>
      <c r="AS46" s="21"/>
      <c r="AT46" s="21"/>
      <c r="AU46" s="21">
        <f>+IF(AU$10&gt;$U$2,"",AS48*$Q$2)</f>
        <v>619.63029508317766</v>
      </c>
      <c r="AV46" s="21"/>
      <c r="AW46" s="21"/>
      <c r="AX46" s="21"/>
      <c r="AY46" s="21">
        <f>+IF(AY$10&gt;$U$2,"",AW48*$Q$2)</f>
        <v>619.63029508317766</v>
      </c>
      <c r="AZ46" s="21"/>
      <c r="BA46" s="21"/>
      <c r="BB46" s="21"/>
      <c r="BC46" s="22">
        <f>+IF(BC$10&gt;$U$2,"",BA48*$Q$2)</f>
        <v>619.63029508317766</v>
      </c>
      <c r="BD46" s="71"/>
      <c r="BE46" s="71"/>
      <c r="BF46" s="71"/>
      <c r="BG46" s="71"/>
      <c r="BH46" s="71"/>
      <c r="BI46" s="71"/>
      <c r="BJ46" s="71"/>
      <c r="BK46" s="71"/>
      <c r="BL46" s="71"/>
      <c r="BM46" s="71"/>
      <c r="BN46" s="71"/>
      <c r="BO46" s="71"/>
      <c r="BP46" s="71"/>
      <c r="BQ46" s="71"/>
      <c r="BR46" s="71"/>
      <c r="BS46" s="71"/>
      <c r="BT46" s="71"/>
      <c r="BU46" s="71"/>
      <c r="BV46" s="71"/>
      <c r="BW46" s="71"/>
      <c r="BX46" s="71"/>
      <c r="BY46" s="71"/>
      <c r="BZ46" s="71"/>
      <c r="CA46" s="71"/>
      <c r="CB46" s="71"/>
      <c r="CC46" s="71"/>
    </row>
    <row r="47" spans="2:81" ht="14.25" x14ac:dyDescent="0.2">
      <c r="B47" s="23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5" t="str">
        <f>IF(W$10&gt;$U$2,"",$F$1)</f>
        <v>│</v>
      </c>
      <c r="W47" s="21"/>
      <c r="X47" s="65" t="str">
        <f>IF(Y$10&gt;$U$2,"",$G$1)</f>
        <v>│</v>
      </c>
      <c r="Y47" s="21"/>
      <c r="Z47" s="25" t="str">
        <f>IF(AA$10&gt;$U$2,"",$F$1)</f>
        <v>│</v>
      </c>
      <c r="AA47" s="21"/>
      <c r="AB47" s="65" t="str">
        <f>IF(AC$10&gt;$U$2,"",$G$1)</f>
        <v>│</v>
      </c>
      <c r="AC47" s="21"/>
      <c r="AD47" s="25" t="str">
        <f>IF(AE$10&gt;$U$2,"",$F$1)</f>
        <v>│</v>
      </c>
      <c r="AE47" s="21"/>
      <c r="AF47" s="65" t="str">
        <f>IF(AG$10&gt;$U$2,"",$G$1)</f>
        <v>│</v>
      </c>
      <c r="AG47" s="21"/>
      <c r="AH47" s="25" t="str">
        <f>IF(AI$10&gt;$U$2,"",$F$1)</f>
        <v>│</v>
      </c>
      <c r="AI47" s="21"/>
      <c r="AJ47" s="65" t="str">
        <f>IF(AK$10&gt;$U$2,"",$G$1)</f>
        <v>│</v>
      </c>
      <c r="AK47" s="21"/>
      <c r="AL47" s="25" t="str">
        <f>IF(AM$10&gt;$U$2,"",$F$1)</f>
        <v>│</v>
      </c>
      <c r="AM47" s="21"/>
      <c r="AN47" s="65" t="str">
        <f>IF(AO$10&gt;$U$2,"",$G$1)</f>
        <v>│</v>
      </c>
      <c r="AO47" s="21"/>
      <c r="AP47" s="25" t="str">
        <f>IF(AQ$10&gt;$U$2,"",$F$1)</f>
        <v>│</v>
      </c>
      <c r="AQ47" s="21"/>
      <c r="AR47" s="65" t="str">
        <f>IF(AS$10&gt;$U$2,"",$G$1)</f>
        <v>│</v>
      </c>
      <c r="AS47" s="21"/>
      <c r="AT47" s="25" t="str">
        <f>IF(AU$10&gt;$U$2,"",$F$1)</f>
        <v>│</v>
      </c>
      <c r="AU47" s="21"/>
      <c r="AV47" s="65" t="str">
        <f>IF(AW$10&gt;$U$2,"",$G$1)</f>
        <v>│</v>
      </c>
      <c r="AW47" s="21"/>
      <c r="AX47" s="25" t="str">
        <f>IF(AY$10&gt;$U$2,"",$F$1)</f>
        <v>│</v>
      </c>
      <c r="AY47" s="21"/>
      <c r="AZ47" s="65" t="str">
        <f>IF(BA$10&gt;$U$2,"",$G$1)</f>
        <v>│</v>
      </c>
      <c r="BA47" s="21"/>
      <c r="BB47" s="25" t="str">
        <f>IF(BC$10&gt;$U$2,"",$F$1)</f>
        <v>│</v>
      </c>
      <c r="BC47" s="22"/>
      <c r="BD47" s="71"/>
      <c r="BE47" s="71"/>
      <c r="BF47" s="71"/>
      <c r="BG47" s="71"/>
      <c r="BH47" s="71"/>
      <c r="BI47" s="71"/>
      <c r="BJ47" s="71"/>
      <c r="BK47" s="71"/>
      <c r="BL47" s="71"/>
      <c r="BM47" s="71"/>
      <c r="BN47" s="71"/>
      <c r="BO47" s="71"/>
      <c r="BP47" s="71"/>
      <c r="BQ47" s="71"/>
      <c r="BR47" s="71"/>
      <c r="BS47" s="71"/>
      <c r="BT47" s="71"/>
      <c r="BU47" s="71"/>
      <c r="BV47" s="71"/>
      <c r="BW47" s="71"/>
      <c r="BX47" s="71"/>
      <c r="BY47" s="71"/>
      <c r="BZ47" s="71"/>
      <c r="CA47" s="71"/>
      <c r="CB47" s="71"/>
      <c r="CC47" s="71"/>
    </row>
    <row r="48" spans="2:81" x14ac:dyDescent="0.2">
      <c r="B48" s="23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>
        <f>+IF(U$10&gt;$U$2,"",S50*$Q$2)</f>
        <v>593.09652302243376</v>
      </c>
      <c r="V48" s="21"/>
      <c r="W48" s="21"/>
      <c r="X48" s="21"/>
      <c r="Y48" s="21">
        <f>+IF(Y$10&gt;$U$2,"",W50*$Q$2)</f>
        <v>593.09652302243376</v>
      </c>
      <c r="Z48" s="21"/>
      <c r="AA48" s="21"/>
      <c r="AB48" s="21"/>
      <c r="AC48" s="21">
        <f>+IF(AC$10&gt;$U$2,"",AA50*$Q$2)</f>
        <v>593.09652302243376</v>
      </c>
      <c r="AD48" s="21"/>
      <c r="AE48" s="21"/>
      <c r="AF48" s="21"/>
      <c r="AG48" s="21">
        <f>+IF(AG$10&gt;$U$2,"",AE50*$Q$2)</f>
        <v>593.09652302243376</v>
      </c>
      <c r="AH48" s="21"/>
      <c r="AI48" s="21"/>
      <c r="AJ48" s="21"/>
      <c r="AK48" s="21">
        <f>+IF(AK$10&gt;$U$2,"",AI50*$Q$2)</f>
        <v>593.09652302243376</v>
      </c>
      <c r="AL48" s="21"/>
      <c r="AM48" s="21"/>
      <c r="AN48" s="21"/>
      <c r="AO48" s="21">
        <f>+IF(AO$10&gt;$U$2,"",AM50*$Q$2)</f>
        <v>593.09652302243376</v>
      </c>
      <c r="AP48" s="21"/>
      <c r="AQ48" s="21"/>
      <c r="AR48" s="21"/>
      <c r="AS48" s="21">
        <f>+IF(AS$10&gt;$U$2,"",AQ50*$Q$2)</f>
        <v>593.09652302243376</v>
      </c>
      <c r="AT48" s="21"/>
      <c r="AU48" s="21"/>
      <c r="AV48" s="21"/>
      <c r="AW48" s="21">
        <f>+IF(AW$10&gt;$U$2,"",AU50*$Q$2)</f>
        <v>593.09652302243376</v>
      </c>
      <c r="AX48" s="21"/>
      <c r="AY48" s="21"/>
      <c r="AZ48" s="21"/>
      <c r="BA48" s="21">
        <f>+IF(BA$10&gt;$U$2,"",AY50*$Q$2)</f>
        <v>593.09652302243376</v>
      </c>
      <c r="BB48" s="21"/>
      <c r="BC48" s="22"/>
      <c r="BD48" s="71"/>
      <c r="BE48" s="71"/>
      <c r="BF48" s="71"/>
      <c r="BG48" s="71"/>
      <c r="BH48" s="71"/>
      <c r="BI48" s="71"/>
      <c r="BJ48" s="71"/>
      <c r="BK48" s="71"/>
      <c r="BL48" s="71"/>
      <c r="BM48" s="71"/>
      <c r="BN48" s="71"/>
      <c r="BO48" s="71"/>
      <c r="BP48" s="71"/>
      <c r="BQ48" s="71"/>
      <c r="BR48" s="71"/>
      <c r="BS48" s="71"/>
      <c r="BT48" s="71"/>
      <c r="BU48" s="71"/>
      <c r="BV48" s="71"/>
      <c r="BW48" s="71"/>
      <c r="BX48" s="71"/>
      <c r="BY48" s="71"/>
      <c r="BZ48" s="71"/>
      <c r="CA48" s="71"/>
      <c r="CB48" s="71"/>
      <c r="CC48" s="71"/>
    </row>
    <row r="49" spans="2:81" ht="14.25" x14ac:dyDescent="0.2">
      <c r="B49" s="23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5" t="str">
        <f>IF(U$10&gt;$U$2,"",$F$1)</f>
        <v>│</v>
      </c>
      <c r="U49" s="21"/>
      <c r="V49" s="65" t="str">
        <f>IF(W$10&gt;$U$2,"",$G$1)</f>
        <v>│</v>
      </c>
      <c r="W49" s="21"/>
      <c r="X49" s="25" t="str">
        <f>IF(Y$10&gt;$U$2,"",$F$1)</f>
        <v>│</v>
      </c>
      <c r="Y49" s="21"/>
      <c r="Z49" s="65" t="str">
        <f>IF(AA$10&gt;$U$2,"",$G$1)</f>
        <v>│</v>
      </c>
      <c r="AA49" s="21"/>
      <c r="AB49" s="25" t="str">
        <f>IF(AC$10&gt;$U$2,"",$F$1)</f>
        <v>│</v>
      </c>
      <c r="AC49" s="21"/>
      <c r="AD49" s="65" t="str">
        <f>IF(AE$10&gt;$U$2,"",$G$1)</f>
        <v>│</v>
      </c>
      <c r="AE49" s="21"/>
      <c r="AF49" s="25" t="str">
        <f>IF(AG$10&gt;$U$2,"",$F$1)</f>
        <v>│</v>
      </c>
      <c r="AG49" s="21"/>
      <c r="AH49" s="65" t="str">
        <f>IF(AI$10&gt;$U$2,"",$G$1)</f>
        <v>│</v>
      </c>
      <c r="AI49" s="21"/>
      <c r="AJ49" s="25" t="str">
        <f>IF(AK$10&gt;$U$2,"",$F$1)</f>
        <v>│</v>
      </c>
      <c r="AK49" s="21"/>
      <c r="AL49" s="65" t="str">
        <f>IF(AM$10&gt;$U$2,"",$G$1)</f>
        <v>│</v>
      </c>
      <c r="AM49" s="21"/>
      <c r="AN49" s="25" t="str">
        <f>IF(AO$10&gt;$U$2,"",$F$1)</f>
        <v>│</v>
      </c>
      <c r="AO49" s="21"/>
      <c r="AP49" s="65" t="str">
        <f>IF(AQ$10&gt;$U$2,"",$G$1)</f>
        <v>│</v>
      </c>
      <c r="AQ49" s="21"/>
      <c r="AR49" s="25" t="str">
        <f>IF(AS$10&gt;$U$2,"",$F$1)</f>
        <v>│</v>
      </c>
      <c r="AS49" s="21"/>
      <c r="AT49" s="65" t="str">
        <f>IF(AU$10&gt;$U$2,"",$G$1)</f>
        <v>│</v>
      </c>
      <c r="AU49" s="21"/>
      <c r="AV49" s="25" t="str">
        <f>IF(AW$10&gt;$U$2,"",$F$1)</f>
        <v>│</v>
      </c>
      <c r="AW49" s="21"/>
      <c r="AX49" s="65" t="str">
        <f>IF(AY$10&gt;$U$2,"",$G$1)</f>
        <v>│</v>
      </c>
      <c r="AY49" s="21"/>
      <c r="AZ49" s="25" t="str">
        <f>IF(BA$10&gt;$U$2,"",$F$1)</f>
        <v>│</v>
      </c>
      <c r="BA49" s="21"/>
      <c r="BB49" s="65" t="str">
        <f>IF(BC$10&gt;$U$2,"",$G$1)</f>
        <v>│</v>
      </c>
      <c r="BC49" s="22"/>
      <c r="BD49" s="71"/>
      <c r="BE49" s="71"/>
      <c r="BF49" s="71"/>
      <c r="BG49" s="71"/>
      <c r="BH49" s="71"/>
      <c r="BI49" s="71"/>
      <c r="BJ49" s="71"/>
      <c r="BK49" s="71"/>
      <c r="BL49" s="71"/>
      <c r="BM49" s="71"/>
      <c r="BN49" s="71"/>
      <c r="BO49" s="71"/>
      <c r="BP49" s="71"/>
      <c r="BQ49" s="71"/>
      <c r="BR49" s="71"/>
      <c r="BS49" s="71"/>
      <c r="BT49" s="71"/>
      <c r="BU49" s="71"/>
      <c r="BV49" s="71"/>
      <c r="BW49" s="71"/>
      <c r="BX49" s="71"/>
      <c r="BY49" s="71"/>
      <c r="BZ49" s="71"/>
      <c r="CA49" s="71"/>
      <c r="CB49" s="71"/>
      <c r="CC49" s="71"/>
    </row>
    <row r="50" spans="2:81" x14ac:dyDescent="0.2">
      <c r="B50" s="23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>
        <f>+IF(S$10&gt;$U$2,"",Q52*$Q$2)</f>
        <v>567.69897858864442</v>
      </c>
      <c r="T50" s="21"/>
      <c r="U50" s="21"/>
      <c r="V50" s="21"/>
      <c r="W50" s="21">
        <f>+IF(W$10&gt;$U$2,"",U52*$Q$2)</f>
        <v>567.69897858864442</v>
      </c>
      <c r="X50" s="21"/>
      <c r="Y50" s="21"/>
      <c r="Z50" s="21"/>
      <c r="AA50" s="21">
        <f>+IF(AA$10&gt;$U$2,"",Y52*$Q$2)</f>
        <v>567.69897858864442</v>
      </c>
      <c r="AB50" s="21"/>
      <c r="AC50" s="21"/>
      <c r="AD50" s="21"/>
      <c r="AE50" s="21">
        <f>+IF(AE$10&gt;$U$2,"",AC52*$Q$2)</f>
        <v>567.69897858864442</v>
      </c>
      <c r="AF50" s="21"/>
      <c r="AG50" s="21"/>
      <c r="AH50" s="21"/>
      <c r="AI50" s="21">
        <f>+IF(AI$10&gt;$U$2,"",AG52*$Q$2)</f>
        <v>567.69897858864442</v>
      </c>
      <c r="AJ50" s="21"/>
      <c r="AK50" s="21"/>
      <c r="AL50" s="21"/>
      <c r="AM50" s="21">
        <f>+IF(AM$10&gt;$U$2,"",AK52*$Q$2)</f>
        <v>567.69897858864442</v>
      </c>
      <c r="AN50" s="21"/>
      <c r="AO50" s="21"/>
      <c r="AP50" s="21"/>
      <c r="AQ50" s="21">
        <f>+IF(AQ$10&gt;$U$2,"",AO52*$Q$2)</f>
        <v>567.69897858864442</v>
      </c>
      <c r="AR50" s="21"/>
      <c r="AS50" s="21"/>
      <c r="AT50" s="21"/>
      <c r="AU50" s="21">
        <f>+IF(AU$10&gt;$U$2,"",AS52*$Q$2)</f>
        <v>567.69897858864442</v>
      </c>
      <c r="AV50" s="21"/>
      <c r="AW50" s="21"/>
      <c r="AX50" s="21"/>
      <c r="AY50" s="21">
        <f>+IF(AY$10&gt;$U$2,"",AW52*$Q$2)</f>
        <v>567.69897858864442</v>
      </c>
      <c r="AZ50" s="21"/>
      <c r="BA50" s="21"/>
      <c r="BB50" s="21"/>
      <c r="BC50" s="22">
        <f>+IF(BC$10&gt;$U$2,"",BA52*$Q$2)</f>
        <v>567.69897858864442</v>
      </c>
      <c r="BD50" s="71"/>
      <c r="BE50" s="71"/>
      <c r="BF50" s="71"/>
      <c r="BG50" s="71"/>
      <c r="BH50" s="71"/>
      <c r="BI50" s="71"/>
      <c r="BJ50" s="71"/>
      <c r="BK50" s="71"/>
      <c r="BL50" s="71"/>
      <c r="BM50" s="71"/>
      <c r="BN50" s="71"/>
      <c r="BO50" s="71"/>
      <c r="BP50" s="71"/>
      <c r="BQ50" s="71"/>
      <c r="BR50" s="71"/>
      <c r="BS50" s="71"/>
      <c r="BT50" s="71"/>
      <c r="BU50" s="71"/>
      <c r="BV50" s="71"/>
      <c r="BW50" s="71"/>
      <c r="BX50" s="71"/>
      <c r="BY50" s="71"/>
      <c r="BZ50" s="71"/>
      <c r="CA50" s="71"/>
      <c r="CB50" s="71"/>
      <c r="CC50" s="71"/>
    </row>
    <row r="51" spans="2:81" ht="14.25" x14ac:dyDescent="0.2">
      <c r="B51" s="23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5" t="str">
        <f>IF(S$10&gt;$U$2,"",$F$1)</f>
        <v>│</v>
      </c>
      <c r="S51" s="21"/>
      <c r="T51" s="65" t="str">
        <f>IF(U$10&gt;$U$2,"",$G$1)</f>
        <v>│</v>
      </c>
      <c r="U51" s="21"/>
      <c r="V51" s="25" t="str">
        <f>IF(W$10&gt;$U$2,"",$F$1)</f>
        <v>│</v>
      </c>
      <c r="W51" s="21"/>
      <c r="X51" s="65" t="str">
        <f>IF(Y$10&gt;$U$2,"",$G$1)</f>
        <v>│</v>
      </c>
      <c r="Y51" s="21"/>
      <c r="Z51" s="25" t="str">
        <f>IF(AA$10&gt;$U$2,"",$F$1)</f>
        <v>│</v>
      </c>
      <c r="AA51" s="21"/>
      <c r="AB51" s="65" t="str">
        <f>IF(AC$10&gt;$U$2,"",$G$1)</f>
        <v>│</v>
      </c>
      <c r="AC51" s="21"/>
      <c r="AD51" s="25" t="str">
        <f>IF(AE$10&gt;$U$2,"",$F$1)</f>
        <v>│</v>
      </c>
      <c r="AE51" s="21"/>
      <c r="AF51" s="65" t="str">
        <f>IF(AG$10&gt;$U$2,"",$G$1)</f>
        <v>│</v>
      </c>
      <c r="AG51" s="21"/>
      <c r="AH51" s="25" t="str">
        <f>IF(AI$10&gt;$U$2,"",$F$1)</f>
        <v>│</v>
      </c>
      <c r="AI51" s="21"/>
      <c r="AJ51" s="65" t="str">
        <f>IF(AK$10&gt;$U$2,"",$G$1)</f>
        <v>│</v>
      </c>
      <c r="AK51" s="21"/>
      <c r="AL51" s="25" t="str">
        <f>IF(AM$10&gt;$U$2,"",$F$1)</f>
        <v>│</v>
      </c>
      <c r="AM51" s="21"/>
      <c r="AN51" s="65" t="str">
        <f>IF(AO$10&gt;$U$2,"",$G$1)</f>
        <v>│</v>
      </c>
      <c r="AO51" s="21"/>
      <c r="AP51" s="25" t="str">
        <f>IF(AQ$10&gt;$U$2,"",$F$1)</f>
        <v>│</v>
      </c>
      <c r="AQ51" s="21"/>
      <c r="AR51" s="65" t="str">
        <f>IF(AS$10&gt;$U$2,"",$G$1)</f>
        <v>│</v>
      </c>
      <c r="AS51" s="21"/>
      <c r="AT51" s="25" t="str">
        <f>IF(AU$10&gt;$U$2,"",$F$1)</f>
        <v>│</v>
      </c>
      <c r="AU51" s="21"/>
      <c r="AV51" s="65" t="str">
        <f>IF(AW$10&gt;$U$2,"",$G$1)</f>
        <v>│</v>
      </c>
      <c r="AW51" s="21"/>
      <c r="AX51" s="25" t="str">
        <f>IF(AY$10&gt;$U$2,"",$F$1)</f>
        <v>│</v>
      </c>
      <c r="AY51" s="21"/>
      <c r="AZ51" s="65" t="str">
        <f>IF(BA$10&gt;$U$2,"",$G$1)</f>
        <v>│</v>
      </c>
      <c r="BA51" s="21"/>
      <c r="BB51" s="25" t="str">
        <f>IF(BC$10&gt;$U$2,"",$F$1)</f>
        <v>│</v>
      </c>
      <c r="BC51" s="22"/>
      <c r="BD51" s="71"/>
      <c r="BE51" s="71"/>
      <c r="BF51" s="71"/>
      <c r="BG51" s="71"/>
      <c r="BH51" s="71"/>
      <c r="BI51" s="71"/>
      <c r="BJ51" s="71"/>
      <c r="BK51" s="71"/>
      <c r="BL51" s="71"/>
      <c r="BM51" s="71"/>
      <c r="BN51" s="71"/>
      <c r="BO51" s="71"/>
      <c r="BP51" s="71"/>
      <c r="BQ51" s="71"/>
      <c r="BR51" s="71"/>
      <c r="BS51" s="71"/>
      <c r="BT51" s="71"/>
      <c r="BU51" s="71"/>
      <c r="BV51" s="71"/>
      <c r="BW51" s="71"/>
      <c r="BX51" s="71"/>
      <c r="BY51" s="71"/>
      <c r="BZ51" s="71"/>
      <c r="CA51" s="71"/>
      <c r="CB51" s="71"/>
      <c r="CC51" s="71"/>
    </row>
    <row r="52" spans="2:81" x14ac:dyDescent="0.2">
      <c r="B52" s="23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>
        <f>+IF(Q$10&gt;$U$2,"",O54*$Q$2)</f>
        <v>543.38900630918033</v>
      </c>
      <c r="R52" s="65"/>
      <c r="S52" s="21"/>
      <c r="T52" s="21"/>
      <c r="U52" s="21">
        <f>+IF(U$10&gt;$U$2,"",S54*$Q$2)</f>
        <v>543.38900630918033</v>
      </c>
      <c r="V52" s="21"/>
      <c r="W52" s="21"/>
      <c r="X52" s="21"/>
      <c r="Y52" s="21">
        <f>+IF(Y$10&gt;$U$2,"",W54*$Q$2)</f>
        <v>543.38900630918033</v>
      </c>
      <c r="Z52" s="21"/>
      <c r="AA52" s="21"/>
      <c r="AB52" s="21"/>
      <c r="AC52" s="21">
        <f>+IF(AC$10&gt;$U$2,"",AA54*$Q$2)</f>
        <v>543.38900630918033</v>
      </c>
      <c r="AD52" s="21"/>
      <c r="AE52" s="21"/>
      <c r="AF52" s="21"/>
      <c r="AG52" s="21">
        <f>+IF(AG$10&gt;$U$2,"",AE54*$Q$2)</f>
        <v>543.38900630918033</v>
      </c>
      <c r="AH52" s="21"/>
      <c r="AI52" s="21"/>
      <c r="AJ52" s="21"/>
      <c r="AK52" s="21">
        <f>+IF(AK$10&gt;$U$2,"",AI54*$Q$2)</f>
        <v>543.38900630918033</v>
      </c>
      <c r="AL52" s="21"/>
      <c r="AM52" s="21"/>
      <c r="AN52" s="21"/>
      <c r="AO52" s="21">
        <f>+IF(AO$10&gt;$U$2,"",AM54*$Q$2)</f>
        <v>543.38900630918033</v>
      </c>
      <c r="AP52" s="21"/>
      <c r="AQ52" s="21"/>
      <c r="AR52" s="21"/>
      <c r="AS52" s="21">
        <f>+IF(AS$10&gt;$U$2,"",AQ54*$Q$2)</f>
        <v>543.38900630918033</v>
      </c>
      <c r="AT52" s="21"/>
      <c r="AU52" s="21"/>
      <c r="AV52" s="21"/>
      <c r="AW52" s="21">
        <f>+IF(AW$10&gt;$U$2,"",AU54*$Q$2)</f>
        <v>543.38900630918033</v>
      </c>
      <c r="AX52" s="21"/>
      <c r="AY52" s="21"/>
      <c r="AZ52" s="21"/>
      <c r="BA52" s="21">
        <f>+IF(BA$10&gt;$U$2,"",AY54*$Q$2)</f>
        <v>543.38900630918033</v>
      </c>
      <c r="BB52" s="21"/>
      <c r="BC52" s="22"/>
      <c r="BD52" s="71"/>
      <c r="BE52" s="71"/>
      <c r="BF52" s="71"/>
      <c r="BG52" s="71"/>
      <c r="BH52" s="71"/>
      <c r="BI52" s="71"/>
      <c r="BJ52" s="71"/>
      <c r="BK52" s="71"/>
      <c r="BL52" s="71"/>
      <c r="BM52" s="71"/>
      <c r="BN52" s="71"/>
      <c r="BO52" s="71"/>
      <c r="BP52" s="71"/>
      <c r="BQ52" s="71"/>
      <c r="BR52" s="71"/>
      <c r="BS52" s="71"/>
      <c r="BT52" s="71"/>
      <c r="BU52" s="71"/>
      <c r="BV52" s="71"/>
      <c r="BW52" s="71"/>
      <c r="BX52" s="71"/>
      <c r="BY52" s="71"/>
      <c r="BZ52" s="71"/>
      <c r="CA52" s="71"/>
      <c r="CB52" s="71"/>
      <c r="CC52" s="71"/>
    </row>
    <row r="53" spans="2:81" ht="14.25" x14ac:dyDescent="0.2">
      <c r="B53" s="23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5" t="str">
        <f>IF(Q$10&gt;$U$2,"",$F$1)</f>
        <v>│</v>
      </c>
      <c r="Q53" s="21"/>
      <c r="R53" s="65" t="str">
        <f>IF(S$10&gt;$U$2,"",$G$1)</f>
        <v>│</v>
      </c>
      <c r="S53" s="21"/>
      <c r="T53" s="25" t="str">
        <f>IF(U$10&gt;$U$2,"",$F$1)</f>
        <v>│</v>
      </c>
      <c r="U53" s="21"/>
      <c r="V53" s="65" t="str">
        <f>IF(W$10&gt;$U$2,"",$G$1)</f>
        <v>│</v>
      </c>
      <c r="W53" s="21"/>
      <c r="X53" s="25" t="str">
        <f>IF(Y$10&gt;$U$2,"",$F$1)</f>
        <v>│</v>
      </c>
      <c r="Y53" s="21"/>
      <c r="Z53" s="65" t="str">
        <f>IF(AA$10&gt;$U$2,"",$G$1)</f>
        <v>│</v>
      </c>
      <c r="AA53" s="21"/>
      <c r="AB53" s="25" t="str">
        <f>IF(AC$10&gt;$U$2,"",$F$1)</f>
        <v>│</v>
      </c>
      <c r="AC53" s="21"/>
      <c r="AD53" s="65" t="str">
        <f>IF(AE$10&gt;$U$2,"",$G$1)</f>
        <v>│</v>
      </c>
      <c r="AE53" s="21"/>
      <c r="AF53" s="25" t="str">
        <f>IF(AG$10&gt;$U$2,"",$F$1)</f>
        <v>│</v>
      </c>
      <c r="AG53" s="21"/>
      <c r="AH53" s="65" t="str">
        <f>IF(AI$10&gt;$U$2,"",$G$1)</f>
        <v>│</v>
      </c>
      <c r="AI53" s="21"/>
      <c r="AJ53" s="25" t="str">
        <f>IF(AK$10&gt;$U$2,"",$F$1)</f>
        <v>│</v>
      </c>
      <c r="AK53" s="21"/>
      <c r="AL53" s="65" t="str">
        <f>IF(AM$10&gt;$U$2,"",$G$1)</f>
        <v>│</v>
      </c>
      <c r="AM53" s="21"/>
      <c r="AN53" s="25" t="str">
        <f>IF(AO$10&gt;$U$2,"",$F$1)</f>
        <v>│</v>
      </c>
      <c r="AO53" s="21"/>
      <c r="AP53" s="65" t="str">
        <f>IF(AQ$10&gt;$U$2,"",$G$1)</f>
        <v>│</v>
      </c>
      <c r="AQ53" s="21"/>
      <c r="AR53" s="25" t="str">
        <f>IF(AS$10&gt;$U$2,"",$F$1)</f>
        <v>│</v>
      </c>
      <c r="AS53" s="21"/>
      <c r="AT53" s="65" t="str">
        <f>IF(AU$10&gt;$U$2,"",$G$1)</f>
        <v>│</v>
      </c>
      <c r="AU53" s="21"/>
      <c r="AV53" s="25" t="str">
        <f>IF(AW$10&gt;$U$2,"",$F$1)</f>
        <v>│</v>
      </c>
      <c r="AW53" s="21"/>
      <c r="AX53" s="65" t="str">
        <f>IF(AY$10&gt;$U$2,"",$G$1)</f>
        <v>│</v>
      </c>
      <c r="AY53" s="21"/>
      <c r="AZ53" s="25" t="str">
        <f>IF(BA$10&gt;$U$2,"",$F$1)</f>
        <v>│</v>
      </c>
      <c r="BA53" s="21"/>
      <c r="BB53" s="65" t="str">
        <f>IF(BC$10&gt;$U$2,"",$G$1)</f>
        <v>│</v>
      </c>
      <c r="BC53" s="22"/>
      <c r="BD53" s="71"/>
      <c r="BE53" s="71"/>
      <c r="BF53" s="71"/>
      <c r="BG53" s="71"/>
      <c r="BH53" s="71"/>
      <c r="BI53" s="71"/>
      <c r="BJ53" s="71"/>
      <c r="BK53" s="71"/>
      <c r="BL53" s="71"/>
      <c r="BM53" s="71"/>
      <c r="BN53" s="71"/>
      <c r="BO53" s="71"/>
      <c r="BP53" s="71"/>
      <c r="BQ53" s="71"/>
      <c r="BR53" s="71"/>
      <c r="BS53" s="71"/>
      <c r="BT53" s="71"/>
      <c r="BU53" s="71"/>
      <c r="BV53" s="71"/>
      <c r="BW53" s="71"/>
      <c r="BX53" s="71"/>
      <c r="BY53" s="71"/>
      <c r="BZ53" s="71"/>
      <c r="CA53" s="71"/>
      <c r="CB53" s="71"/>
      <c r="CC53" s="71"/>
    </row>
    <row r="54" spans="2:81" x14ac:dyDescent="0.2">
      <c r="B54" s="23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>
        <f>+IF(O$10&gt;$U$2,"",M56*$Q$2)</f>
        <v>520.12003423320004</v>
      </c>
      <c r="P54" s="21"/>
      <c r="Q54" s="21"/>
      <c r="R54" s="21"/>
      <c r="S54" s="21">
        <f>+IF(S$10&gt;$U$2,"",Q56*$Q$2)</f>
        <v>520.12003423320004</v>
      </c>
      <c r="T54" s="21"/>
      <c r="U54" s="21"/>
      <c r="V54" s="21"/>
      <c r="W54" s="21">
        <f>+IF(W$10&gt;$U$2,"",U56*$Q$2)</f>
        <v>520.12003423320004</v>
      </c>
      <c r="X54" s="21"/>
      <c r="Y54" s="21"/>
      <c r="Z54" s="21"/>
      <c r="AA54" s="21">
        <f>+IF(AA$10&gt;$U$2,"",Y56*$Q$2)</f>
        <v>520.12003423320004</v>
      </c>
      <c r="AB54" s="21"/>
      <c r="AC54" s="21"/>
      <c r="AD54" s="21"/>
      <c r="AE54" s="21">
        <f>+IF(AE$10&gt;$U$2,"",AC56*$Q$2)</f>
        <v>520.12003423320004</v>
      </c>
      <c r="AF54" s="21"/>
      <c r="AG54" s="21"/>
      <c r="AH54" s="21"/>
      <c r="AI54" s="21">
        <f>+IF(AI$10&gt;$U$2,"",AG56*$Q$2)</f>
        <v>520.12003423320004</v>
      </c>
      <c r="AJ54" s="21"/>
      <c r="AK54" s="21"/>
      <c r="AL54" s="21"/>
      <c r="AM54" s="21">
        <f>+IF(AM$10&gt;$U$2,"",AK56*$Q$2)</f>
        <v>520.12003423320004</v>
      </c>
      <c r="AN54" s="21"/>
      <c r="AO54" s="21"/>
      <c r="AP54" s="21"/>
      <c r="AQ54" s="21">
        <f>+IF(AQ$10&gt;$U$2,"",AO56*$Q$2)</f>
        <v>520.12003423320004</v>
      </c>
      <c r="AR54" s="21"/>
      <c r="AS54" s="21"/>
      <c r="AT54" s="21"/>
      <c r="AU54" s="21">
        <f>+IF(AU$10&gt;$U$2,"",AS56*$Q$2)</f>
        <v>520.12003423320004</v>
      </c>
      <c r="AV54" s="21"/>
      <c r="AW54" s="21"/>
      <c r="AX54" s="21"/>
      <c r="AY54" s="21">
        <f>+IF(AY$10&gt;$U$2,"",AW56*$Q$2)</f>
        <v>520.12003423320004</v>
      </c>
      <c r="AZ54" s="21"/>
      <c r="BA54" s="21"/>
      <c r="BB54" s="21"/>
      <c r="BC54" s="22">
        <f>+IF(BC$10&gt;$U$2,"",BA56*$Q$2)</f>
        <v>520.12003423320004</v>
      </c>
      <c r="BD54" s="71"/>
      <c r="BE54" s="71"/>
      <c r="BF54" s="71"/>
      <c r="BG54" s="71"/>
      <c r="BH54" s="71"/>
      <c r="BI54" s="71"/>
      <c r="BJ54" s="71"/>
      <c r="BK54" s="71"/>
      <c r="BL54" s="71"/>
      <c r="BM54" s="71"/>
      <c r="BN54" s="71"/>
      <c r="BO54" s="71"/>
      <c r="BP54" s="71"/>
      <c r="BQ54" s="71"/>
      <c r="BR54" s="71"/>
      <c r="BS54" s="71"/>
      <c r="BT54" s="71"/>
      <c r="BU54" s="71"/>
      <c r="BV54" s="71"/>
      <c r="BW54" s="71"/>
      <c r="BX54" s="71"/>
      <c r="BY54" s="71"/>
      <c r="BZ54" s="71"/>
      <c r="CA54" s="71"/>
      <c r="CB54" s="71"/>
      <c r="CC54" s="71"/>
    </row>
    <row r="55" spans="2:81" ht="14.25" x14ac:dyDescent="0.2">
      <c r="B55" s="23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5" t="str">
        <f>IF(O$10&gt;$U$2,"",$F$1)</f>
        <v>│</v>
      </c>
      <c r="O55" s="21"/>
      <c r="P55" s="65" t="str">
        <f>IF(Q$10&gt;$U$2,"",$G$1)</f>
        <v>│</v>
      </c>
      <c r="Q55" s="21"/>
      <c r="R55" s="25" t="str">
        <f>IF(S$10&gt;$U$2,"",$F$1)</f>
        <v>│</v>
      </c>
      <c r="S55" s="21"/>
      <c r="T55" s="65" t="str">
        <f>IF(U$10&gt;$U$2,"",$G$1)</f>
        <v>│</v>
      </c>
      <c r="U55" s="21"/>
      <c r="V55" s="25" t="str">
        <f>IF(W$10&gt;$U$2,"",$F$1)</f>
        <v>│</v>
      </c>
      <c r="W55" s="21"/>
      <c r="X55" s="65" t="str">
        <f>IF(Y$10&gt;$U$2,"",$G$1)</f>
        <v>│</v>
      </c>
      <c r="Y55" s="21"/>
      <c r="Z55" s="25" t="str">
        <f>IF(AA$10&gt;$U$2,"",$F$1)</f>
        <v>│</v>
      </c>
      <c r="AA55" s="21"/>
      <c r="AB55" s="65" t="str">
        <f>IF(AC$10&gt;$U$2,"",$G$1)</f>
        <v>│</v>
      </c>
      <c r="AC55" s="21"/>
      <c r="AD55" s="25" t="str">
        <f>IF(AE$10&gt;$U$2,"",$F$1)</f>
        <v>│</v>
      </c>
      <c r="AE55" s="21"/>
      <c r="AF55" s="65" t="str">
        <f>IF(AG$10&gt;$U$2,"",$G$1)</f>
        <v>│</v>
      </c>
      <c r="AG55" s="21"/>
      <c r="AH55" s="25" t="str">
        <f>IF(AI$10&gt;$U$2,"",$F$1)</f>
        <v>│</v>
      </c>
      <c r="AI55" s="21"/>
      <c r="AJ55" s="65" t="str">
        <f>IF(AK$10&gt;$U$2,"",$G$1)</f>
        <v>│</v>
      </c>
      <c r="AK55" s="21"/>
      <c r="AL55" s="25" t="str">
        <f>IF(AM$10&gt;$U$2,"",$F$1)</f>
        <v>│</v>
      </c>
      <c r="AM55" s="21"/>
      <c r="AN55" s="65" t="str">
        <f>IF(AO$10&gt;$U$2,"",$G$1)</f>
        <v>│</v>
      </c>
      <c r="AO55" s="21"/>
      <c r="AP55" s="25" t="str">
        <f>IF(AQ$10&gt;$U$2,"",$F$1)</f>
        <v>│</v>
      </c>
      <c r="AQ55" s="21"/>
      <c r="AR55" s="65" t="str">
        <f>IF(AS$10&gt;$U$2,"",$G$1)</f>
        <v>│</v>
      </c>
      <c r="AS55" s="21"/>
      <c r="AT55" s="25" t="str">
        <f>IF(AU$10&gt;$U$2,"",$F$1)</f>
        <v>│</v>
      </c>
      <c r="AU55" s="21"/>
      <c r="AV55" s="65" t="str">
        <f>IF(AW$10&gt;$U$2,"",$G$1)</f>
        <v>│</v>
      </c>
      <c r="AW55" s="21"/>
      <c r="AX55" s="25" t="str">
        <f>IF(AY$10&gt;$U$2,"",$F$1)</f>
        <v>│</v>
      </c>
      <c r="AY55" s="21"/>
      <c r="AZ55" s="65" t="str">
        <f>IF(BA$10&gt;$U$2,"",$G$1)</f>
        <v>│</v>
      </c>
      <c r="BA55" s="21"/>
      <c r="BB55" s="25" t="str">
        <f>IF(BC$10&gt;$U$2,"",$F$1)</f>
        <v>│</v>
      </c>
      <c r="BC55" s="22"/>
      <c r="BD55" s="71"/>
      <c r="BE55" s="71"/>
      <c r="BF55" s="71"/>
      <c r="BG55" s="71"/>
      <c r="BH55" s="71"/>
      <c r="BI55" s="71"/>
      <c r="BJ55" s="71"/>
      <c r="BK55" s="71"/>
      <c r="BL55" s="71"/>
      <c r="BM55" s="71"/>
      <c r="BN55" s="71"/>
      <c r="BO55" s="71"/>
      <c r="BP55" s="71"/>
      <c r="BQ55" s="71"/>
      <c r="BR55" s="71"/>
      <c r="BS55" s="71"/>
      <c r="BT55" s="71"/>
      <c r="BU55" s="71"/>
      <c r="BV55" s="71"/>
      <c r="BW55" s="71"/>
      <c r="BX55" s="71"/>
      <c r="BY55" s="71"/>
      <c r="BZ55" s="71"/>
      <c r="CA55" s="71"/>
      <c r="CB55" s="71"/>
      <c r="CC55" s="71"/>
    </row>
    <row r="56" spans="2:81" x14ac:dyDescent="0.2">
      <c r="B56" s="23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>
        <f>+IF(M$10&gt;$U$2,"",K58*$Q$2)</f>
        <v>497.84748471120253</v>
      </c>
      <c r="N56" s="21"/>
      <c r="O56" s="21"/>
      <c r="P56" s="21"/>
      <c r="Q56" s="21">
        <f>+IF(Q$10&gt;$U$2,"",O58*$Q$2)</f>
        <v>497.84748471120253</v>
      </c>
      <c r="R56" s="21"/>
      <c r="S56" s="21"/>
      <c r="T56" s="21"/>
      <c r="U56" s="21">
        <f>+IF(U$10&gt;$U$2,"",S58*$Q$2)</f>
        <v>497.84748471120253</v>
      </c>
      <c r="V56" s="21"/>
      <c r="W56" s="21"/>
      <c r="X56" s="21"/>
      <c r="Y56" s="21">
        <f>+IF(Y$10&gt;$U$2,"",W58*$Q$2)</f>
        <v>497.84748471120253</v>
      </c>
      <c r="Z56" s="21"/>
      <c r="AA56" s="21"/>
      <c r="AB56" s="21"/>
      <c r="AC56" s="21">
        <f>+IF(AC$10&gt;$U$2,"",AA58*$Q$2)</f>
        <v>497.84748471120253</v>
      </c>
      <c r="AD56" s="21"/>
      <c r="AE56" s="21"/>
      <c r="AF56" s="21"/>
      <c r="AG56" s="21">
        <f>+IF(AG$10&gt;$U$2,"",AE58*$Q$2)</f>
        <v>497.84748471120253</v>
      </c>
      <c r="AH56" s="21"/>
      <c r="AI56" s="21"/>
      <c r="AJ56" s="21"/>
      <c r="AK56" s="21">
        <f>+IF(AK$10&gt;$U$2,"",AI58*$Q$2)</f>
        <v>497.84748471120253</v>
      </c>
      <c r="AL56" s="65"/>
      <c r="AM56" s="21"/>
      <c r="AN56" s="21"/>
      <c r="AO56" s="21">
        <f>+IF(AO$10&gt;$U$2,"",AM58*$Q$2)</f>
        <v>497.84748471120253</v>
      </c>
      <c r="AP56" s="21"/>
      <c r="AQ56" s="21"/>
      <c r="AR56" s="21"/>
      <c r="AS56" s="21">
        <f>+IF(AS$10&gt;$U$2,"",AQ58*$Q$2)</f>
        <v>497.84748471120253</v>
      </c>
      <c r="AT56" s="21"/>
      <c r="AU56" s="21"/>
      <c r="AV56" s="21"/>
      <c r="AW56" s="21">
        <f>+IF(AW$10&gt;$U$2,"",AU58*$Q$2)</f>
        <v>497.84748471120253</v>
      </c>
      <c r="AX56" s="21"/>
      <c r="AY56" s="21"/>
      <c r="AZ56" s="21"/>
      <c r="BA56" s="21">
        <f>+IF(BA$10&gt;$U$2,"",AY58*$Q$2)</f>
        <v>497.84748471120253</v>
      </c>
      <c r="BB56" s="21"/>
      <c r="BC56" s="22"/>
      <c r="BD56" s="71"/>
      <c r="BE56" s="71"/>
      <c r="BF56" s="71"/>
      <c r="BG56" s="71"/>
      <c r="BH56" s="71"/>
      <c r="BI56" s="71"/>
      <c r="BJ56" s="71"/>
      <c r="BK56" s="71"/>
      <c r="BL56" s="71"/>
      <c r="BM56" s="71"/>
      <c r="BN56" s="71"/>
      <c r="BO56" s="71"/>
      <c r="BP56" s="71"/>
      <c r="BQ56" s="71"/>
      <c r="BR56" s="71"/>
      <c r="BS56" s="71"/>
      <c r="BT56" s="71"/>
      <c r="BU56" s="71"/>
      <c r="BV56" s="71"/>
      <c r="BW56" s="71"/>
      <c r="BX56" s="71"/>
      <c r="BY56" s="71"/>
      <c r="BZ56" s="71"/>
      <c r="CA56" s="71"/>
      <c r="CB56" s="71"/>
      <c r="CC56" s="71"/>
    </row>
    <row r="57" spans="2:81" ht="14.25" x14ac:dyDescent="0.2">
      <c r="B57" s="23"/>
      <c r="C57" s="21"/>
      <c r="D57" s="21"/>
      <c r="E57" s="21"/>
      <c r="F57" s="21"/>
      <c r="G57" s="21"/>
      <c r="H57" s="21"/>
      <c r="I57" s="21"/>
      <c r="J57" s="21"/>
      <c r="K57" s="21"/>
      <c r="L57" s="25" t="str">
        <f>IF(M$10&gt;$U$2,"",$F$1)</f>
        <v>│</v>
      </c>
      <c r="M57" s="21"/>
      <c r="N57" s="65" t="str">
        <f>IF(O$10&gt;$U$2,"",$G$1)</f>
        <v>│</v>
      </c>
      <c r="O57" s="21"/>
      <c r="P57" s="25" t="str">
        <f>IF(Q$10&gt;$U$2,"",$F$1)</f>
        <v>│</v>
      </c>
      <c r="Q57" s="21"/>
      <c r="R57" s="65" t="str">
        <f>IF(S$10&gt;$U$2,"",$G$1)</f>
        <v>│</v>
      </c>
      <c r="S57" s="21"/>
      <c r="T57" s="25" t="str">
        <f>IF(U$10&gt;$U$2,"",$F$1)</f>
        <v>│</v>
      </c>
      <c r="U57" s="21"/>
      <c r="V57" s="65" t="str">
        <f>IF(W$10&gt;$U$2,"",$G$1)</f>
        <v>│</v>
      </c>
      <c r="W57" s="21"/>
      <c r="X57" s="25" t="str">
        <f>IF(Y$10&gt;$U$2,"",$F$1)</f>
        <v>│</v>
      </c>
      <c r="Y57" s="21"/>
      <c r="Z57" s="65" t="str">
        <f>IF(AA$10&gt;$U$2,"",$G$1)</f>
        <v>│</v>
      </c>
      <c r="AA57" s="21"/>
      <c r="AB57" s="25" t="str">
        <f>IF(AC$10&gt;$U$2,"",$F$1)</f>
        <v>│</v>
      </c>
      <c r="AC57" s="21"/>
      <c r="AD57" s="65" t="str">
        <f>IF(AE$10&gt;$U$2,"",$G$1)</f>
        <v>│</v>
      </c>
      <c r="AE57" s="21"/>
      <c r="AF57" s="25" t="str">
        <f>IF(AG$10&gt;$U$2,"",$F$1)</f>
        <v>│</v>
      </c>
      <c r="AG57" s="21"/>
      <c r="AH57" s="65" t="str">
        <f>IF(AI$10&gt;$U$2,"",$G$1)</f>
        <v>│</v>
      </c>
      <c r="AI57" s="21"/>
      <c r="AJ57" s="25" t="str">
        <f>IF(AK$10&gt;$U$2,"",$F$1)</f>
        <v>│</v>
      </c>
      <c r="AK57" s="21"/>
      <c r="AL57" s="65" t="str">
        <f>IF(AM$10&gt;$U$2,"",$G$1)</f>
        <v>│</v>
      </c>
      <c r="AM57" s="21"/>
      <c r="AN57" s="25" t="str">
        <f>IF(AO$10&gt;$U$2,"",$F$1)</f>
        <v>│</v>
      </c>
      <c r="AO57" s="21"/>
      <c r="AP57" s="65" t="str">
        <f>IF(AQ$10&gt;$U$2,"",$G$1)</f>
        <v>│</v>
      </c>
      <c r="AQ57" s="21"/>
      <c r="AR57" s="25" t="str">
        <f>IF(AS$10&gt;$U$2,"",$F$1)</f>
        <v>│</v>
      </c>
      <c r="AS57" s="21"/>
      <c r="AT57" s="65" t="str">
        <f>IF(AU$10&gt;$U$2,"",$G$1)</f>
        <v>│</v>
      </c>
      <c r="AU57" s="21"/>
      <c r="AV57" s="25" t="str">
        <f>IF(AW$10&gt;$U$2,"",$F$1)</f>
        <v>│</v>
      </c>
      <c r="AW57" s="21"/>
      <c r="AX57" s="65" t="str">
        <f>IF(AY$10&gt;$U$2,"",$G$1)</f>
        <v>│</v>
      </c>
      <c r="AY57" s="21"/>
      <c r="AZ57" s="25" t="str">
        <f>IF(BA$10&gt;$U$2,"",$F$1)</f>
        <v>│</v>
      </c>
      <c r="BA57" s="21"/>
      <c r="BB57" s="65" t="str">
        <f>IF(BC$10&gt;$U$2,"",$G$1)</f>
        <v>│</v>
      </c>
      <c r="BC57" s="22"/>
      <c r="BD57" s="71"/>
      <c r="BE57" s="71"/>
      <c r="BF57" s="71"/>
      <c r="BG57" s="71"/>
      <c r="BH57" s="71"/>
      <c r="BI57" s="71"/>
      <c r="BJ57" s="71"/>
      <c r="BK57" s="71"/>
      <c r="BL57" s="71"/>
      <c r="BM57" s="71"/>
      <c r="BN57" s="71"/>
      <c r="BO57" s="71"/>
      <c r="BP57" s="71"/>
      <c r="BQ57" s="71"/>
      <c r="BR57" s="71"/>
      <c r="BS57" s="71"/>
      <c r="BT57" s="71"/>
      <c r="BU57" s="71"/>
      <c r="BV57" s="71"/>
      <c r="BW57" s="71"/>
      <c r="BX57" s="71"/>
      <c r="BY57" s="71"/>
      <c r="BZ57" s="71"/>
      <c r="CA57" s="71"/>
      <c r="CB57" s="71"/>
      <c r="CC57" s="71"/>
    </row>
    <row r="58" spans="2:81" x14ac:dyDescent="0.2">
      <c r="B58" s="23"/>
      <c r="C58" s="21"/>
      <c r="D58" s="21"/>
      <c r="E58" s="21"/>
      <c r="F58" s="21"/>
      <c r="G58" s="21"/>
      <c r="H58" s="21"/>
      <c r="I58" s="21"/>
      <c r="J58" s="21"/>
      <c r="K58" s="21">
        <f>+IF(K$10&gt;$U$2,"",I60*$Q$2)</f>
        <v>476.52868899517244</v>
      </c>
      <c r="L58" s="21"/>
      <c r="M58" s="21"/>
      <c r="N58" s="21"/>
      <c r="O58" s="21">
        <f>+IF(O$10&gt;$U$2,"",M60*$Q$2)</f>
        <v>476.52868899517244</v>
      </c>
      <c r="P58" s="21"/>
      <c r="Q58" s="21"/>
      <c r="R58" s="21"/>
      <c r="S58" s="21">
        <f>+IF(S$10&gt;$U$2,"",Q60*$Q$2)</f>
        <v>476.52868899517244</v>
      </c>
      <c r="T58" s="21"/>
      <c r="U58" s="21"/>
      <c r="V58" s="21"/>
      <c r="W58" s="21">
        <f>+IF(W$10&gt;$U$2,"",U60*$Q$2)</f>
        <v>476.52868899517244</v>
      </c>
      <c r="X58" s="21"/>
      <c r="Y58" s="21"/>
      <c r="Z58" s="21"/>
      <c r="AA58" s="21">
        <f>+IF(AA$10&gt;$U$2,"",Y60*$Q$2)</f>
        <v>476.52868899517244</v>
      </c>
      <c r="AB58" s="21"/>
      <c r="AC58" s="21"/>
      <c r="AD58" s="21"/>
      <c r="AE58" s="21">
        <f>+IF(AE$10&gt;$U$2,"",AC60*$Q$2)</f>
        <v>476.52868899517244</v>
      </c>
      <c r="AF58" s="21"/>
      <c r="AG58" s="21"/>
      <c r="AH58" s="21"/>
      <c r="AI58" s="21">
        <f>+IF(AI$10&gt;$U$2,"",AG60*$Q$2)</f>
        <v>476.52868899517244</v>
      </c>
      <c r="AJ58" s="21"/>
      <c r="AK58" s="21"/>
      <c r="AL58" s="21"/>
      <c r="AM58" s="21">
        <f>+IF(AM$10&gt;$U$2,"",AK60*$Q$2)</f>
        <v>476.52868899517244</v>
      </c>
      <c r="AN58" s="21"/>
      <c r="AO58" s="21"/>
      <c r="AP58" s="21"/>
      <c r="AQ58" s="21">
        <f>+IF(AQ$10&gt;$U$2,"",AO60*$Q$2)</f>
        <v>476.52868899517244</v>
      </c>
      <c r="AR58" s="21"/>
      <c r="AS58" s="21"/>
      <c r="AT58" s="21"/>
      <c r="AU58" s="21">
        <f>+IF(AU$10&gt;$U$2,"",AS60*$Q$2)</f>
        <v>476.52868899517244</v>
      </c>
      <c r="AV58" s="21"/>
      <c r="AW58" s="21"/>
      <c r="AX58" s="21"/>
      <c r="AY58" s="21">
        <f>+IF(AY$10&gt;$U$2,"",AW60*$Q$2)</f>
        <v>476.52868899517244</v>
      </c>
      <c r="AZ58" s="21"/>
      <c r="BA58" s="21"/>
      <c r="BB58" s="21"/>
      <c r="BC58" s="22">
        <f>+IF(BC$10&gt;$U$2,"",BA60*$Q$2)</f>
        <v>476.52868899517244</v>
      </c>
      <c r="BD58" s="71"/>
      <c r="BE58" s="71"/>
      <c r="BF58" s="71"/>
      <c r="BG58" s="71"/>
      <c r="BH58" s="71"/>
      <c r="BI58" s="71"/>
      <c r="BJ58" s="71"/>
      <c r="BK58" s="71"/>
      <c r="BL58" s="71"/>
      <c r="BM58" s="71"/>
      <c r="BN58" s="71"/>
      <c r="BO58" s="71"/>
      <c r="BP58" s="71"/>
      <c r="BQ58" s="71"/>
      <c r="BR58" s="71"/>
      <c r="BS58" s="71"/>
      <c r="BT58" s="71"/>
      <c r="BU58" s="71"/>
      <c r="BV58" s="71"/>
      <c r="BW58" s="71"/>
      <c r="BX58" s="71"/>
      <c r="BY58" s="71"/>
      <c r="BZ58" s="71"/>
      <c r="CA58" s="71"/>
      <c r="CB58" s="71"/>
      <c r="CC58" s="71"/>
    </row>
    <row r="59" spans="2:81" ht="14.25" x14ac:dyDescent="0.2">
      <c r="B59" s="23"/>
      <c r="C59" s="21"/>
      <c r="D59" s="21"/>
      <c r="E59" s="21"/>
      <c r="F59" s="21"/>
      <c r="G59" s="21"/>
      <c r="H59" s="21"/>
      <c r="I59" s="21"/>
      <c r="J59" s="25" t="str">
        <f>IF(K$10&gt;$U$2,"",$F$1)</f>
        <v>│</v>
      </c>
      <c r="K59" s="21"/>
      <c r="L59" s="65" t="str">
        <f>IF(M$10&gt;$U$2,"",$G$1)</f>
        <v>│</v>
      </c>
      <c r="M59" s="21"/>
      <c r="N59" s="25" t="str">
        <f>IF(O$10&gt;$U$2,"",$F$1)</f>
        <v>│</v>
      </c>
      <c r="O59" s="21"/>
      <c r="P59" s="65" t="str">
        <f>IF(Q$10&gt;$U$2,"",$G$1)</f>
        <v>│</v>
      </c>
      <c r="Q59" s="21"/>
      <c r="R59" s="25" t="str">
        <f>IF(S$10&gt;$U$2,"",$F$1)</f>
        <v>│</v>
      </c>
      <c r="S59" s="21"/>
      <c r="T59" s="65" t="str">
        <f>IF(U$10&gt;$U$2,"",$G$1)</f>
        <v>│</v>
      </c>
      <c r="U59" s="21"/>
      <c r="V59" s="25" t="str">
        <f>IF(W$10&gt;$U$2,"",$F$1)</f>
        <v>│</v>
      </c>
      <c r="W59" s="21"/>
      <c r="X59" s="65" t="str">
        <f>IF(Y$10&gt;$U$2,"",$G$1)</f>
        <v>│</v>
      </c>
      <c r="Y59" s="21"/>
      <c r="Z59" s="25" t="str">
        <f>IF(AA$10&gt;$U$2,"",$F$1)</f>
        <v>│</v>
      </c>
      <c r="AA59" s="21"/>
      <c r="AB59" s="65" t="str">
        <f>IF(AC$10&gt;$U$2,"",$G$1)</f>
        <v>│</v>
      </c>
      <c r="AC59" s="21"/>
      <c r="AD59" s="25" t="str">
        <f>IF(AE$10&gt;$U$2,"",$F$1)</f>
        <v>│</v>
      </c>
      <c r="AE59" s="21"/>
      <c r="AF59" s="65" t="str">
        <f>IF(AG$10&gt;$U$2,"",$G$1)</f>
        <v>│</v>
      </c>
      <c r="AG59" s="21"/>
      <c r="AH59" s="25" t="str">
        <f>IF(AI$10&gt;$U$2,"",$F$1)</f>
        <v>│</v>
      </c>
      <c r="AI59" s="21"/>
      <c r="AJ59" s="65" t="str">
        <f>IF(AK$10&gt;$U$2,"",$G$1)</f>
        <v>│</v>
      </c>
      <c r="AK59" s="21"/>
      <c r="AL59" s="25" t="str">
        <f>IF(AM$10&gt;$U$2,"",$F$1)</f>
        <v>│</v>
      </c>
      <c r="AM59" s="21"/>
      <c r="AN59" s="65" t="str">
        <f>IF(AO$10&gt;$U$2,"",$G$1)</f>
        <v>│</v>
      </c>
      <c r="AO59" s="21"/>
      <c r="AP59" s="25" t="str">
        <f>IF(AQ$10&gt;$U$2,"",$F$1)</f>
        <v>│</v>
      </c>
      <c r="AQ59" s="21"/>
      <c r="AR59" s="65" t="str">
        <f>IF(AS$10&gt;$U$2,"",$G$1)</f>
        <v>│</v>
      </c>
      <c r="AS59" s="21"/>
      <c r="AT59" s="25" t="str">
        <f>IF(AU$10&gt;$U$2,"",$F$1)</f>
        <v>│</v>
      </c>
      <c r="AU59" s="21"/>
      <c r="AV59" s="65" t="str">
        <f>IF(AW$10&gt;$U$2,"",$G$1)</f>
        <v>│</v>
      </c>
      <c r="AW59" s="21"/>
      <c r="AX59" s="25" t="str">
        <f>IF(AY$10&gt;$U$2,"",$F$1)</f>
        <v>│</v>
      </c>
      <c r="AY59" s="21"/>
      <c r="AZ59" s="65" t="str">
        <f>IF(BA$10&gt;$U$2,"",$G$1)</f>
        <v>│</v>
      </c>
      <c r="BA59" s="21"/>
      <c r="BB59" s="25" t="str">
        <f>IF(BC$10&gt;$U$2,"",$F$1)</f>
        <v>│</v>
      </c>
      <c r="BC59" s="22"/>
      <c r="BD59" s="71"/>
      <c r="BE59" s="71"/>
      <c r="BF59" s="71"/>
      <c r="BG59" s="71"/>
      <c r="BH59" s="71"/>
      <c r="BI59" s="71"/>
      <c r="BJ59" s="71"/>
      <c r="BK59" s="71"/>
      <c r="BL59" s="71"/>
      <c r="BM59" s="71"/>
      <c r="BN59" s="71"/>
      <c r="BO59" s="71"/>
      <c r="BP59" s="71"/>
      <c r="BQ59" s="71"/>
      <c r="BR59" s="71"/>
      <c r="BS59" s="71"/>
      <c r="BT59" s="71"/>
      <c r="BU59" s="71"/>
      <c r="BV59" s="71"/>
      <c r="BW59" s="71"/>
      <c r="BX59" s="71"/>
      <c r="BY59" s="71"/>
      <c r="BZ59" s="71"/>
      <c r="CA59" s="71"/>
      <c r="CB59" s="71"/>
      <c r="CC59" s="71"/>
    </row>
    <row r="60" spans="2:81" x14ac:dyDescent="0.2">
      <c r="B60" s="23"/>
      <c r="C60" s="20"/>
      <c r="D60" s="66"/>
      <c r="E60" s="21"/>
      <c r="F60" s="21"/>
      <c r="G60" s="21"/>
      <c r="H60" s="21"/>
      <c r="I60" s="21">
        <f>+IF(I$10&gt;$U$2,"",G62*$Q$2)</f>
        <v>456.12280549571301</v>
      </c>
      <c r="J60" s="21"/>
      <c r="K60" s="21"/>
      <c r="L60" s="21"/>
      <c r="M60" s="21">
        <f>+IF(M$10&gt;$U$2,"",K62*$Q$2)</f>
        <v>456.12280549571301</v>
      </c>
      <c r="N60" s="21"/>
      <c r="O60" s="21"/>
      <c r="P60" s="21"/>
      <c r="Q60" s="21">
        <f>+IF(Q$10&gt;$U$2,"",O62*$Q$2)</f>
        <v>456.12280549571301</v>
      </c>
      <c r="R60" s="21"/>
      <c r="S60" s="21"/>
      <c r="T60" s="21"/>
      <c r="U60" s="21">
        <f>+IF(U$10&gt;$U$2,"",S62*$Q$2)</f>
        <v>456.12280549571301</v>
      </c>
      <c r="V60" s="21"/>
      <c r="W60" s="21"/>
      <c r="X60" s="21"/>
      <c r="Y60" s="21">
        <f>+IF(Y$10&gt;$U$2,"",W62*$Q$2)</f>
        <v>456.12280549571301</v>
      </c>
      <c r="Z60" s="21"/>
      <c r="AA60" s="21"/>
      <c r="AB60" s="21"/>
      <c r="AC60" s="21">
        <f>+IF(AC$10&gt;$U$2,"",AA62*$Q$2)</f>
        <v>456.12280549571301</v>
      </c>
      <c r="AD60" s="21"/>
      <c r="AE60" s="21"/>
      <c r="AF60" s="21"/>
      <c r="AG60" s="21">
        <f>+IF(AG$10&gt;$U$2,"",AE62*$Q$2)</f>
        <v>456.12280549571301</v>
      </c>
      <c r="AH60" s="21"/>
      <c r="AI60" s="21"/>
      <c r="AJ60" s="21"/>
      <c r="AK60" s="21">
        <f>+IF(AK$10&gt;$U$2,"",AI62*$Q$2)</f>
        <v>456.12280549571301</v>
      </c>
      <c r="AL60" s="21"/>
      <c r="AM60" s="21"/>
      <c r="AN60" s="21"/>
      <c r="AO60" s="21">
        <f>+IF(AO$10&gt;$U$2,"",AM62*$Q$2)</f>
        <v>456.12280549571301</v>
      </c>
      <c r="AP60" s="21"/>
      <c r="AQ60" s="21"/>
      <c r="AR60" s="21"/>
      <c r="AS60" s="21">
        <f>+IF(AS$10&gt;$U$2,"",AQ62*$Q$2)</f>
        <v>456.12280549571301</v>
      </c>
      <c r="AT60" s="21"/>
      <c r="AU60" s="21"/>
      <c r="AV60" s="21"/>
      <c r="AW60" s="21">
        <f>+IF(AW$10&gt;$U$2,"",AU62*$Q$2)</f>
        <v>456.12280549571301</v>
      </c>
      <c r="AX60" s="21"/>
      <c r="AY60" s="21"/>
      <c r="AZ60" s="21"/>
      <c r="BA60" s="21">
        <f>+IF(BA$10&gt;$U$2,"",AY62*$Q$2)</f>
        <v>456.12280549571301</v>
      </c>
      <c r="BB60" s="21"/>
      <c r="BC60" s="22"/>
      <c r="BD60" s="71"/>
      <c r="BE60" s="71"/>
      <c r="BF60" s="71"/>
      <c r="BG60" s="71"/>
      <c r="BH60" s="71"/>
      <c r="BI60" s="71"/>
      <c r="BJ60" s="71"/>
      <c r="BK60" s="71"/>
      <c r="BL60" s="71"/>
      <c r="BM60" s="71"/>
      <c r="BN60" s="71"/>
      <c r="BO60" s="71"/>
      <c r="BP60" s="71"/>
      <c r="BQ60" s="71"/>
      <c r="BR60" s="71"/>
      <c r="BS60" s="71"/>
      <c r="BT60" s="71"/>
      <c r="BU60" s="71"/>
      <c r="BV60" s="71"/>
      <c r="BW60" s="71"/>
      <c r="BX60" s="71"/>
      <c r="BY60" s="71"/>
      <c r="BZ60" s="71"/>
      <c r="CA60" s="71"/>
      <c r="CB60" s="71"/>
      <c r="CC60" s="71"/>
    </row>
    <row r="61" spans="2:81" ht="14.25" x14ac:dyDescent="0.2">
      <c r="B61" s="23"/>
      <c r="C61" s="66"/>
      <c r="D61" s="66"/>
      <c r="E61" s="21"/>
      <c r="F61" s="21"/>
      <c r="G61" s="21"/>
      <c r="H61" s="25" t="str">
        <f>IF(I$10&gt;$U$2,"",$F$1)</f>
        <v>│</v>
      </c>
      <c r="I61" s="21"/>
      <c r="J61" s="65" t="str">
        <f>IF(K$10&gt;$U$2,"",$G$1)</f>
        <v>│</v>
      </c>
      <c r="K61" s="21"/>
      <c r="L61" s="25" t="str">
        <f>IF(M$10&gt;$U$2,"",$F$1)</f>
        <v>│</v>
      </c>
      <c r="M61" s="21"/>
      <c r="N61" s="65" t="str">
        <f>IF(O$10&gt;$U$2,"",$G$1)</f>
        <v>│</v>
      </c>
      <c r="O61" s="21"/>
      <c r="P61" s="25" t="str">
        <f>IF(Q$10&gt;$U$2,"",$F$1)</f>
        <v>│</v>
      </c>
      <c r="Q61" s="21"/>
      <c r="R61" s="65" t="str">
        <f>IF(S$10&gt;$U$2,"",$G$1)</f>
        <v>│</v>
      </c>
      <c r="S61" s="21"/>
      <c r="T61" s="25" t="str">
        <f>IF(U$10&gt;$U$2,"",$F$1)</f>
        <v>│</v>
      </c>
      <c r="U61" s="21"/>
      <c r="V61" s="65" t="str">
        <f>IF(W$10&gt;$U$2,"",$G$1)</f>
        <v>│</v>
      </c>
      <c r="W61" s="21"/>
      <c r="X61" s="25" t="str">
        <f>IF(Y$10&gt;$U$2,"",$F$1)</f>
        <v>│</v>
      </c>
      <c r="Y61" s="21"/>
      <c r="Z61" s="65" t="str">
        <f>IF(AA$10&gt;$U$2,"",$G$1)</f>
        <v>│</v>
      </c>
      <c r="AA61" s="21"/>
      <c r="AB61" s="25" t="str">
        <f>IF(AC$10&gt;$U$2,"",$F$1)</f>
        <v>│</v>
      </c>
      <c r="AC61" s="21"/>
      <c r="AD61" s="65" t="str">
        <f>IF(AE$10&gt;$U$2,"",$G$1)</f>
        <v>│</v>
      </c>
      <c r="AE61" s="21"/>
      <c r="AF61" s="25" t="str">
        <f>IF(AG$10&gt;$U$2,"",$F$1)</f>
        <v>│</v>
      </c>
      <c r="AG61" s="21"/>
      <c r="AH61" s="65" t="str">
        <f>IF(AI$10&gt;$U$2,"",$G$1)</f>
        <v>│</v>
      </c>
      <c r="AI61" s="21"/>
      <c r="AJ61" s="25" t="str">
        <f>IF(AK$10&gt;$U$2,"",$F$1)</f>
        <v>│</v>
      </c>
      <c r="AK61" s="21"/>
      <c r="AL61" s="65" t="str">
        <f>IF(AM$10&gt;$U$2,"",$G$1)</f>
        <v>│</v>
      </c>
      <c r="AM61" s="21"/>
      <c r="AN61" s="25" t="str">
        <f>IF(AO$10&gt;$U$2,"",$F$1)</f>
        <v>│</v>
      </c>
      <c r="AO61" s="21"/>
      <c r="AP61" s="65" t="str">
        <f>IF(AQ$10&gt;$U$2,"",$G$1)</f>
        <v>│</v>
      </c>
      <c r="AQ61" s="21"/>
      <c r="AR61" s="25" t="str">
        <f>IF(AS$10&gt;$U$2,"",$F$1)</f>
        <v>│</v>
      </c>
      <c r="AS61" s="21"/>
      <c r="AT61" s="65" t="str">
        <f>IF(AU$10&gt;$U$2,"",$G$1)</f>
        <v>│</v>
      </c>
      <c r="AU61" s="21"/>
      <c r="AV61" s="25" t="str">
        <f>IF(AW$10&gt;$U$2,"",$F$1)</f>
        <v>│</v>
      </c>
      <c r="AW61" s="21"/>
      <c r="AX61" s="65" t="str">
        <f>IF(AY$10&gt;$U$2,"",$G$1)</f>
        <v>│</v>
      </c>
      <c r="AY61" s="21"/>
      <c r="AZ61" s="25" t="str">
        <f>IF(BA$10&gt;$U$2,"",$F$1)</f>
        <v>│</v>
      </c>
      <c r="BA61" s="21"/>
      <c r="BB61" s="65" t="str">
        <f>IF(BC$10&gt;$U$2,"",$G$1)</f>
        <v>│</v>
      </c>
      <c r="BC61" s="22"/>
      <c r="BD61" s="71"/>
      <c r="BE61" s="71"/>
      <c r="BF61" s="71"/>
      <c r="BG61" s="71"/>
      <c r="BH61" s="71"/>
      <c r="BI61" s="71"/>
      <c r="BJ61" s="71"/>
      <c r="BK61" s="71"/>
      <c r="BL61" s="71"/>
      <c r="BM61" s="71"/>
      <c r="BN61" s="71"/>
      <c r="BO61" s="71"/>
      <c r="BP61" s="71"/>
      <c r="BQ61" s="71"/>
      <c r="BR61" s="71"/>
      <c r="BS61" s="71"/>
      <c r="BT61" s="71"/>
      <c r="BU61" s="71"/>
      <c r="BV61" s="71"/>
      <c r="BW61" s="71"/>
      <c r="BX61" s="71"/>
      <c r="BY61" s="71"/>
      <c r="BZ61" s="71"/>
      <c r="CA61" s="71"/>
      <c r="CB61" s="71"/>
      <c r="CC61" s="71"/>
    </row>
    <row r="62" spans="2:81" x14ac:dyDescent="0.2">
      <c r="B62" s="23"/>
      <c r="C62" s="66" t="s">
        <v>34</v>
      </c>
      <c r="D62" s="66"/>
      <c r="E62" s="21"/>
      <c r="F62" s="21"/>
      <c r="G62" s="21">
        <f>+IF(G$10&gt;$U$2,"",E64*$Q$2)</f>
        <v>436.59074153956698</v>
      </c>
      <c r="H62" s="21"/>
      <c r="I62" s="21"/>
      <c r="J62" s="21"/>
      <c r="K62" s="21">
        <f>+IF(K$10&gt;$U$2,"",I64*$Q$2)</f>
        <v>436.59074153956698</v>
      </c>
      <c r="L62" s="21"/>
      <c r="M62" s="21"/>
      <c r="N62" s="21"/>
      <c r="O62" s="21">
        <f>+IF(O$10&gt;$U$2,"",M64*$Q$2)</f>
        <v>436.59074153956698</v>
      </c>
      <c r="P62" s="21"/>
      <c r="Q62" s="21"/>
      <c r="R62" s="21"/>
      <c r="S62" s="21">
        <f>+IF(S$10&gt;$U$2,"",Q64*$Q$2)</f>
        <v>436.59074153956698</v>
      </c>
      <c r="T62" s="21"/>
      <c r="U62" s="21"/>
      <c r="V62" s="21"/>
      <c r="W62" s="21">
        <f>+IF(W$10&gt;$U$2,"",U64*$Q$2)</f>
        <v>436.59074153956698</v>
      </c>
      <c r="X62" s="21"/>
      <c r="Y62" s="21"/>
      <c r="Z62" s="21"/>
      <c r="AA62" s="21">
        <f>+IF(AA$10&gt;$U$2,"",Y64*$Q$2)</f>
        <v>436.59074153956698</v>
      </c>
      <c r="AB62" s="21"/>
      <c r="AC62" s="21"/>
      <c r="AD62" s="21"/>
      <c r="AE62" s="21">
        <f>+IF(AE$10&gt;$U$2,"",AC64*$Q$2)</f>
        <v>436.59074153956698</v>
      </c>
      <c r="AF62" s="21"/>
      <c r="AG62" s="21"/>
      <c r="AH62" s="21"/>
      <c r="AI62" s="21">
        <f>+IF(AI$10&gt;$U$2,"",AG64*$Q$2)</f>
        <v>436.59074153956698</v>
      </c>
      <c r="AJ62" s="21"/>
      <c r="AK62" s="21"/>
      <c r="AL62" s="21"/>
      <c r="AM62" s="21">
        <f>+IF(AM$10&gt;$U$2,"",AK64*$Q$2)</f>
        <v>436.59074153956698</v>
      </c>
      <c r="AN62" s="21"/>
      <c r="AO62" s="21"/>
      <c r="AP62" s="21"/>
      <c r="AQ62" s="21">
        <f>+IF(AQ$10&gt;$U$2,"",AO64*$Q$2)</f>
        <v>436.59074153956698</v>
      </c>
      <c r="AR62" s="21"/>
      <c r="AS62" s="21"/>
      <c r="AT62" s="21"/>
      <c r="AU62" s="21">
        <f>+IF(AU$10&gt;$U$2,"",AS64*$Q$2)</f>
        <v>436.59074153956698</v>
      </c>
      <c r="AV62" s="21"/>
      <c r="AW62" s="21"/>
      <c r="AX62" s="21"/>
      <c r="AY62" s="21">
        <f>+IF(AY$10&gt;$U$2,"",AW64*$Q$2)</f>
        <v>436.59074153956698</v>
      </c>
      <c r="AZ62" s="21"/>
      <c r="BA62" s="21"/>
      <c r="BB62" s="21"/>
      <c r="BC62" s="22">
        <f>+IF(BC$10&gt;$U$2,"",BA64*$Q$2)</f>
        <v>436.59074153956698</v>
      </c>
      <c r="BD62" s="71"/>
      <c r="BE62" s="71"/>
      <c r="BF62" s="71"/>
      <c r="BG62" s="71"/>
      <c r="BH62" s="71"/>
      <c r="BI62" s="71"/>
      <c r="BJ62" s="71"/>
      <c r="BK62" s="71"/>
      <c r="BL62" s="71"/>
      <c r="BM62" s="71"/>
      <c r="BN62" s="71"/>
      <c r="BO62" s="71"/>
      <c r="BP62" s="71"/>
      <c r="BQ62" s="71"/>
      <c r="BR62" s="71"/>
      <c r="BS62" s="71"/>
      <c r="BT62" s="71"/>
      <c r="BU62" s="71"/>
      <c r="BV62" s="71"/>
      <c r="BW62" s="71"/>
      <c r="BX62" s="71"/>
      <c r="BY62" s="71"/>
      <c r="BZ62" s="71"/>
      <c r="CA62" s="71"/>
      <c r="CB62" s="71"/>
      <c r="CC62" s="71"/>
    </row>
    <row r="63" spans="2:81" ht="14.25" x14ac:dyDescent="0.2">
      <c r="B63" s="23"/>
      <c r="C63" s="66" t="s">
        <v>35</v>
      </c>
      <c r="D63" s="66"/>
      <c r="E63" s="21"/>
      <c r="F63" s="25" t="str">
        <f>IF(G$10&gt;$U$2,"",$F$1)</f>
        <v>│</v>
      </c>
      <c r="G63" s="21"/>
      <c r="H63" s="65" t="str">
        <f>IF(I$10&gt;$U$2,"",$G$1)</f>
        <v>│</v>
      </c>
      <c r="I63" s="21"/>
      <c r="J63" s="21"/>
      <c r="K63" s="21"/>
      <c r="L63" s="65" t="str">
        <f>IF(M$10&gt;$U$2,"",$G$1)</f>
        <v>│</v>
      </c>
      <c r="M63" s="21"/>
      <c r="N63" s="25" t="str">
        <f>IF(O$10&gt;$U$2,"",$F$1)</f>
        <v>│</v>
      </c>
      <c r="O63" s="21"/>
      <c r="P63" s="65" t="str">
        <f>IF(Q$10&gt;$U$2,"",$G$1)</f>
        <v>│</v>
      </c>
      <c r="Q63" s="21"/>
      <c r="R63" s="25" t="str">
        <f>IF(S$10&gt;$U$2,"",$F$1)</f>
        <v>│</v>
      </c>
      <c r="S63" s="21"/>
      <c r="T63" s="65" t="str">
        <f>IF(U$10&gt;$U$2,"",$G$1)</f>
        <v>│</v>
      </c>
      <c r="U63" s="21"/>
      <c r="V63" s="25" t="str">
        <f>IF(W$10&gt;$U$2,"",$F$1)</f>
        <v>│</v>
      </c>
      <c r="W63" s="21"/>
      <c r="X63" s="65" t="str">
        <f>IF(Y$10&gt;$U$2,"",$G$1)</f>
        <v>│</v>
      </c>
      <c r="Y63" s="21"/>
      <c r="Z63" s="25" t="str">
        <f>IF(AA$10&gt;$U$2,"",$F$1)</f>
        <v>│</v>
      </c>
      <c r="AA63" s="21"/>
      <c r="AB63" s="65" t="str">
        <f>IF(AC$10&gt;$U$2,"",$G$1)</f>
        <v>│</v>
      </c>
      <c r="AC63" s="21"/>
      <c r="AD63" s="25" t="str">
        <f>IF(AE$10&gt;$U$2,"",$F$1)</f>
        <v>│</v>
      </c>
      <c r="AE63" s="21"/>
      <c r="AF63" s="65" t="str">
        <f>IF(AG$10&gt;$U$2,"",$G$1)</f>
        <v>│</v>
      </c>
      <c r="AG63" s="21"/>
      <c r="AH63" s="25" t="str">
        <f>IF(AI$10&gt;$U$2,"",$F$1)</f>
        <v>│</v>
      </c>
      <c r="AI63" s="21"/>
      <c r="AJ63" s="65" t="str">
        <f>IF(AK$10&gt;$U$2,"",$G$1)</f>
        <v>│</v>
      </c>
      <c r="AK63" s="21"/>
      <c r="AL63" s="25" t="str">
        <f>IF(AM$10&gt;$U$2,"",$F$1)</f>
        <v>│</v>
      </c>
      <c r="AM63" s="21"/>
      <c r="AN63" s="65" t="str">
        <f>IF(AO$10&gt;$U$2,"",$G$1)</f>
        <v>│</v>
      </c>
      <c r="AO63" s="21"/>
      <c r="AP63" s="25" t="str">
        <f>IF(AQ$10&gt;$U$2,"",$F$1)</f>
        <v>│</v>
      </c>
      <c r="AQ63" s="21"/>
      <c r="AR63" s="65" t="str">
        <f>IF(AS$10&gt;$U$2,"",$G$1)</f>
        <v>│</v>
      </c>
      <c r="AS63" s="21"/>
      <c r="AT63" s="25" t="str">
        <f>IF(AU$10&gt;$U$2,"",$F$1)</f>
        <v>│</v>
      </c>
      <c r="AU63" s="21"/>
      <c r="AV63" s="65" t="str">
        <f>IF(AW$10&gt;$U$2,"",$G$1)</f>
        <v>│</v>
      </c>
      <c r="AW63" s="21"/>
      <c r="AX63" s="25" t="str">
        <f>IF(AY$10&gt;$U$2,"",$F$1)</f>
        <v>│</v>
      </c>
      <c r="AY63" s="21"/>
      <c r="AZ63" s="65" t="str">
        <f>IF(BA$10&gt;$U$2,"",$G$1)</f>
        <v>│</v>
      </c>
      <c r="BA63" s="21"/>
      <c r="BB63" s="25" t="str">
        <f>IF(BC$10&gt;$U$2,"",$F$1)</f>
        <v>│</v>
      </c>
      <c r="BC63" s="22"/>
      <c r="BD63" s="71"/>
      <c r="BE63" s="71"/>
      <c r="BF63" s="71"/>
      <c r="BG63" s="71"/>
      <c r="BH63" s="71"/>
      <c r="BI63" s="71"/>
      <c r="BJ63" s="71"/>
      <c r="BK63" s="71"/>
      <c r="BL63" s="71"/>
      <c r="BM63" s="71"/>
      <c r="BN63" s="71"/>
      <c r="BO63" s="71"/>
      <c r="BP63" s="71"/>
      <c r="BQ63" s="71"/>
      <c r="BR63" s="71"/>
      <c r="BS63" s="71"/>
      <c r="BT63" s="71"/>
      <c r="BU63" s="71"/>
      <c r="BV63" s="71"/>
      <c r="BW63" s="71"/>
      <c r="BX63" s="71"/>
      <c r="BY63" s="71"/>
      <c r="BZ63" s="71"/>
      <c r="CA63" s="71"/>
      <c r="CB63" s="71"/>
      <c r="CC63" s="71"/>
    </row>
    <row r="64" spans="2:81" x14ac:dyDescent="0.2">
      <c r="B64" s="23"/>
      <c r="C64" s="21"/>
      <c r="D64" s="21"/>
      <c r="E64" s="67">
        <f>+IF(E$10&gt;Inputs!$C$32,"",C66*$Q$2)</f>
        <v>417.89507847763269</v>
      </c>
      <c r="F64" s="68"/>
      <c r="G64" s="21"/>
      <c r="H64" s="21"/>
      <c r="I64" s="21">
        <f>+IF(I$10&gt;$U$2,"",G66*$Q$2)</f>
        <v>417.89507847763269</v>
      </c>
      <c r="J64" s="21"/>
      <c r="K64" s="21"/>
      <c r="L64" s="21"/>
      <c r="M64" s="21">
        <f>+IF(M$10&gt;$U$2,"",K66*$Q$2)</f>
        <v>417.89507847763269</v>
      </c>
      <c r="N64" s="21"/>
      <c r="O64" s="21"/>
      <c r="P64" s="21"/>
      <c r="Q64" s="21">
        <f>+IF(Q$10&gt;$U$2,"",O66*$Q$2)</f>
        <v>417.89507847763269</v>
      </c>
      <c r="R64" s="21"/>
      <c r="S64" s="21"/>
      <c r="T64" s="21"/>
      <c r="U64" s="21">
        <f>+IF(U$10&gt;$U$2,"",S66*$Q$2)</f>
        <v>417.89507847763269</v>
      </c>
      <c r="V64" s="21"/>
      <c r="W64" s="21"/>
      <c r="X64" s="21"/>
      <c r="Y64" s="21">
        <f>+IF(Y$10&gt;$U$2,"",W66*$Q$2)</f>
        <v>417.89507847763269</v>
      </c>
      <c r="Z64" s="21"/>
      <c r="AA64" s="21"/>
      <c r="AB64" s="21"/>
      <c r="AC64" s="21">
        <f>+IF(AC$10&gt;$U$2,"",AA66*$Q$2)</f>
        <v>417.89507847763269</v>
      </c>
      <c r="AD64" s="21"/>
      <c r="AE64" s="21"/>
      <c r="AF64" s="21"/>
      <c r="AG64" s="21">
        <f>+IF(AG$10&gt;$U$2,"",AE66*$Q$2)</f>
        <v>417.89507847763269</v>
      </c>
      <c r="AH64" s="21"/>
      <c r="AI64" s="21"/>
      <c r="AJ64" s="21"/>
      <c r="AK64" s="21">
        <f>+IF(AK$10&gt;$U$2,"",AI66*$Q$2)</f>
        <v>417.89507847763269</v>
      </c>
      <c r="AL64" s="21"/>
      <c r="AM64" s="21"/>
      <c r="AN64" s="21"/>
      <c r="AO64" s="21">
        <f>+IF(AO$10&gt;$U$2,"",AM66*$Q$2)</f>
        <v>417.89507847763269</v>
      </c>
      <c r="AP64" s="21"/>
      <c r="AQ64" s="21"/>
      <c r="AR64" s="21"/>
      <c r="AS64" s="21">
        <f>+IF(AS$10&gt;$U$2,"",AQ66*$Q$2)</f>
        <v>417.89507847763269</v>
      </c>
      <c r="AT64" s="21"/>
      <c r="AU64" s="21"/>
      <c r="AV64" s="21"/>
      <c r="AW64" s="21">
        <f>+IF(AW$10&gt;$U$2,"",AU66*$Q$2)</f>
        <v>417.89507847763269</v>
      </c>
      <c r="AX64" s="21"/>
      <c r="AY64" s="21"/>
      <c r="AZ64" s="21"/>
      <c r="BA64" s="21">
        <f>+IF(BA$10&gt;$U$2,"",AY66*$Q$2)</f>
        <v>417.89507847763269</v>
      </c>
      <c r="BB64" s="21"/>
      <c r="BC64" s="22"/>
      <c r="BD64" s="71"/>
      <c r="BE64" s="71"/>
      <c r="BF64" s="71"/>
      <c r="BG64" s="71"/>
      <c r="BH64" s="71"/>
      <c r="BI64" s="71"/>
      <c r="BJ64" s="71"/>
      <c r="BK64" s="71"/>
      <c r="BL64" s="71"/>
      <c r="BM64" s="71"/>
      <c r="BN64" s="71"/>
      <c r="BO64" s="71"/>
      <c r="BP64" s="71"/>
      <c r="BQ64" s="71"/>
      <c r="BR64" s="71"/>
      <c r="BS64" s="71"/>
      <c r="BT64" s="71"/>
      <c r="BU64" s="71"/>
      <c r="BV64" s="71"/>
      <c r="BW64" s="71"/>
      <c r="BX64" s="71"/>
      <c r="BY64" s="71"/>
      <c r="BZ64" s="71"/>
      <c r="CA64" s="71"/>
      <c r="CB64" s="71"/>
      <c r="CC64" s="71"/>
    </row>
    <row r="65" spans="2:81" ht="14.25" x14ac:dyDescent="0.2">
      <c r="B65" s="23"/>
      <c r="C65" s="21"/>
      <c r="D65" s="25" t="str">
        <f>IF(E$10&gt;$U$2,"",$F$1)</f>
        <v>│</v>
      </c>
      <c r="E65" s="21"/>
      <c r="F65" s="65" t="str">
        <f>IF(G$10&gt;$U$2,"",$G$1)</f>
        <v>│</v>
      </c>
      <c r="G65" s="21"/>
      <c r="H65" s="25" t="str">
        <f>IF(I$10&gt;$U$2,"",$F$1)</f>
        <v>│</v>
      </c>
      <c r="I65" s="21"/>
      <c r="J65" s="65" t="str">
        <f>IF(K$10&gt;$U$2,"",$G$1)</f>
        <v>│</v>
      </c>
      <c r="K65" s="21"/>
      <c r="L65" s="25" t="str">
        <f>IF(M$10&gt;$U$2,"",$F$1)</f>
        <v>│</v>
      </c>
      <c r="M65" s="21"/>
      <c r="N65" s="65" t="str">
        <f>IF(O$10&gt;$U$2,"",$G$1)</f>
        <v>│</v>
      </c>
      <c r="O65" s="21"/>
      <c r="P65" s="25" t="str">
        <f>IF(Q$10&gt;$U$2,"",$F$1)</f>
        <v>│</v>
      </c>
      <c r="Q65" s="21"/>
      <c r="R65" s="65" t="str">
        <f>IF(S$10&gt;$U$2,"",$G$1)</f>
        <v>│</v>
      </c>
      <c r="S65" s="21"/>
      <c r="T65" s="25" t="str">
        <f>IF(U$10&gt;$U$2,"",$F$1)</f>
        <v>│</v>
      </c>
      <c r="U65" s="21"/>
      <c r="V65" s="65" t="str">
        <f>IF(W$10&gt;$U$2,"",$G$1)</f>
        <v>│</v>
      </c>
      <c r="W65" s="21"/>
      <c r="X65" s="25" t="str">
        <f>IF(Y$10&gt;$U$2,"",$F$1)</f>
        <v>│</v>
      </c>
      <c r="Y65" s="21"/>
      <c r="Z65" s="65" t="str">
        <f>IF(AA$10&gt;$U$2,"",$G$1)</f>
        <v>│</v>
      </c>
      <c r="AA65" s="21"/>
      <c r="AB65" s="25" t="str">
        <f>IF(AC$10&gt;$U$2,"",$F$1)</f>
        <v>│</v>
      </c>
      <c r="AC65" s="21"/>
      <c r="AD65" s="65" t="str">
        <f>IF(AE$10&gt;$U$2,"",$G$1)</f>
        <v>│</v>
      </c>
      <c r="AE65" s="21"/>
      <c r="AF65" s="25" t="str">
        <f>IF(AG$10&gt;$U$2,"",$F$1)</f>
        <v>│</v>
      </c>
      <c r="AG65" s="21"/>
      <c r="AH65" s="65" t="str">
        <f>IF(AI$10&gt;$U$2,"",$G$1)</f>
        <v>│</v>
      </c>
      <c r="AI65" s="21"/>
      <c r="AJ65" s="25" t="str">
        <f>IF(AK$10&gt;$U$2,"",$F$1)</f>
        <v>│</v>
      </c>
      <c r="AK65" s="21"/>
      <c r="AL65" s="65" t="str">
        <f>IF(AM$10&gt;$U$2,"",$G$1)</f>
        <v>│</v>
      </c>
      <c r="AM65" s="21"/>
      <c r="AN65" s="25" t="str">
        <f>IF(AO$10&gt;$U$2,"",$F$1)</f>
        <v>│</v>
      </c>
      <c r="AO65" s="21"/>
      <c r="AP65" s="65" t="str">
        <f>IF(AQ$10&gt;$U$2,"",$G$1)</f>
        <v>│</v>
      </c>
      <c r="AQ65" s="21"/>
      <c r="AR65" s="25" t="str">
        <f>IF(AS$10&gt;$U$2,"",$F$1)</f>
        <v>│</v>
      </c>
      <c r="AS65" s="21"/>
      <c r="AT65" s="65" t="str">
        <f>IF(AU$10&gt;$U$2,"",$G$1)</f>
        <v>│</v>
      </c>
      <c r="AU65" s="21"/>
      <c r="AV65" s="25" t="str">
        <f>IF(AW$10&gt;$U$2,"",$F$1)</f>
        <v>│</v>
      </c>
      <c r="AW65" s="21"/>
      <c r="AX65" s="65" t="str">
        <f>IF(AY$10&gt;$U$2,"",$G$1)</f>
        <v>│</v>
      </c>
      <c r="AY65" s="21"/>
      <c r="AZ65" s="25" t="str">
        <f>IF(BA$10&gt;$U$2,"",$F$1)</f>
        <v>│</v>
      </c>
      <c r="BA65" s="21"/>
      <c r="BB65" s="65" t="str">
        <f>IF(BC$10&gt;$U$2,"",$G$1)</f>
        <v>│</v>
      </c>
      <c r="BC65" s="22"/>
      <c r="BD65" s="71"/>
      <c r="BE65" s="71"/>
      <c r="BF65" s="71"/>
      <c r="BG65" s="71"/>
      <c r="BH65" s="71"/>
      <c r="BI65" s="71"/>
      <c r="BJ65" s="71"/>
      <c r="BK65" s="71"/>
      <c r="BL65" s="71"/>
      <c r="BM65" s="71"/>
      <c r="BN65" s="71"/>
      <c r="BO65" s="71"/>
      <c r="BP65" s="71"/>
      <c r="BQ65" s="71"/>
      <c r="BR65" s="71"/>
      <c r="BS65" s="71"/>
      <c r="BT65" s="71"/>
      <c r="BU65" s="71"/>
      <c r="BV65" s="71"/>
      <c r="BW65" s="71"/>
      <c r="BX65" s="71"/>
      <c r="BY65" s="71"/>
      <c r="BZ65" s="71"/>
      <c r="CA65" s="71"/>
      <c r="CB65" s="71"/>
      <c r="CC65" s="71"/>
    </row>
    <row r="66" spans="2:81" x14ac:dyDescent="0.2">
      <c r="B66" s="23"/>
      <c r="C66" s="66">
        <f>$O$2</f>
        <v>400</v>
      </c>
      <c r="D66" s="69"/>
      <c r="E66" s="21"/>
      <c r="F66" s="70"/>
      <c r="G66" s="21">
        <f>+IF(G$10&gt;$U$2,"",$C66)</f>
        <v>400</v>
      </c>
      <c r="H66" s="70"/>
      <c r="I66" s="21"/>
      <c r="J66" s="70"/>
      <c r="K66" s="21">
        <f>+IF(K$10&gt;$U$2,"",$C66)</f>
        <v>400</v>
      </c>
      <c r="L66" s="21"/>
      <c r="M66" s="21"/>
      <c r="N66" s="21"/>
      <c r="O66" s="21">
        <f>+IF(O$10&gt;$U$2,"",$C66)</f>
        <v>400</v>
      </c>
      <c r="P66" s="21"/>
      <c r="Q66" s="21"/>
      <c r="R66" s="21"/>
      <c r="S66" s="21">
        <f>+IF(S$10&gt;$U$2,"",$C66)</f>
        <v>400</v>
      </c>
      <c r="T66" s="21"/>
      <c r="U66" s="21"/>
      <c r="V66" s="21"/>
      <c r="W66" s="21">
        <f>+IF(W$10&gt;$U$2,"",$C66)</f>
        <v>400</v>
      </c>
      <c r="X66" s="21"/>
      <c r="Y66" s="21"/>
      <c r="Z66" s="21"/>
      <c r="AA66" s="21">
        <f>+IF(AA$10&gt;$U$2,"",$C66)</f>
        <v>400</v>
      </c>
      <c r="AB66" s="21"/>
      <c r="AC66" s="21"/>
      <c r="AD66" s="21"/>
      <c r="AE66" s="21">
        <f>+IF(AE$10&gt;$U$2,"",$C66)</f>
        <v>400</v>
      </c>
      <c r="AF66" s="21"/>
      <c r="AG66" s="21"/>
      <c r="AH66" s="21"/>
      <c r="AI66" s="21">
        <f>+IF(AI$10&gt;$U$2,"",$C66)</f>
        <v>400</v>
      </c>
      <c r="AJ66" s="21"/>
      <c r="AK66" s="21"/>
      <c r="AL66" s="21"/>
      <c r="AM66" s="21">
        <f>+IF(AM$10&gt;$U$2,"",$C66)</f>
        <v>400</v>
      </c>
      <c r="AN66" s="21"/>
      <c r="AO66" s="21"/>
      <c r="AP66" s="21"/>
      <c r="AQ66" s="21">
        <f>+IF(AQ$10&gt;$U$2,"",$C66)</f>
        <v>400</v>
      </c>
      <c r="AR66" s="21"/>
      <c r="AS66" s="21"/>
      <c r="AT66" s="21"/>
      <c r="AU66" s="21">
        <f>+IF(AU$10&gt;$U$2,"",$C66)</f>
        <v>400</v>
      </c>
      <c r="AV66" s="21"/>
      <c r="AW66" s="21"/>
      <c r="AX66" s="21"/>
      <c r="AY66" s="21">
        <f>+IF(AY$10&gt;$U$2,"",$C66)</f>
        <v>400</v>
      </c>
      <c r="AZ66" s="21"/>
      <c r="BA66" s="21"/>
      <c r="BB66" s="21"/>
      <c r="BC66" s="22">
        <f>+IF(BC$10&gt;$U$2,"",$C66)</f>
        <v>400</v>
      </c>
      <c r="BD66" s="71"/>
      <c r="BE66" s="71"/>
      <c r="BF66" s="71"/>
      <c r="BG66" s="71"/>
      <c r="BH66" s="71"/>
      <c r="BI66" s="71"/>
      <c r="BJ66" s="71"/>
      <c r="BK66" s="71"/>
      <c r="BL66" s="71"/>
      <c r="BM66" s="71"/>
      <c r="BN66" s="71"/>
      <c r="BO66" s="71"/>
      <c r="BP66" s="71"/>
      <c r="BQ66" s="71"/>
      <c r="BR66" s="71"/>
      <c r="BS66" s="71"/>
      <c r="BT66" s="71"/>
      <c r="BU66" s="71"/>
      <c r="BV66" s="71"/>
      <c r="BW66" s="71"/>
      <c r="BX66" s="71"/>
      <c r="BY66" s="71"/>
      <c r="BZ66" s="71"/>
      <c r="CA66" s="71"/>
      <c r="CB66" s="71"/>
      <c r="CC66" s="71"/>
    </row>
    <row r="67" spans="2:81" ht="14.25" x14ac:dyDescent="0.2">
      <c r="B67" s="23"/>
      <c r="C67" s="66"/>
      <c r="D67" s="65" t="str">
        <f>IF(E$10&gt;$U$2,"",$G$1)</f>
        <v>│</v>
      </c>
      <c r="E67" s="21"/>
      <c r="F67" s="25" t="str">
        <f>IF(G$10&gt;$U$2,"",$F$1)</f>
        <v>│</v>
      </c>
      <c r="G67" s="21"/>
      <c r="H67" s="65" t="str">
        <f>IF(I$10&gt;$U$2,"",$G$1)</f>
        <v>│</v>
      </c>
      <c r="I67" s="21"/>
      <c r="J67" s="25" t="str">
        <f>IF(K$10&gt;$U$2,"",$F$1)</f>
        <v>│</v>
      </c>
      <c r="K67" s="21"/>
      <c r="L67" s="65" t="str">
        <f>IF(M$10&gt;$U$2,"",$G$1)</f>
        <v>│</v>
      </c>
      <c r="M67" s="21"/>
      <c r="N67" s="25" t="str">
        <f>IF(O$10&gt;$U$2,"",$F$1)</f>
        <v>│</v>
      </c>
      <c r="O67" s="21"/>
      <c r="P67" s="65" t="str">
        <f>IF(Q$10&gt;$U$2,"",$G$1)</f>
        <v>│</v>
      </c>
      <c r="Q67" s="21"/>
      <c r="R67" s="25" t="str">
        <f>IF(S$10&gt;$U$2,"",$F$1)</f>
        <v>│</v>
      </c>
      <c r="S67" s="21"/>
      <c r="T67" s="65" t="str">
        <f>IF(U$10&gt;$U$2,"",$G$1)</f>
        <v>│</v>
      </c>
      <c r="U67" s="21"/>
      <c r="V67" s="25" t="str">
        <f>IF(W$10&gt;$U$2,"",$F$1)</f>
        <v>│</v>
      </c>
      <c r="W67" s="21"/>
      <c r="X67" s="65" t="str">
        <f>IF(Y$10&gt;$U$2,"",$G$1)</f>
        <v>│</v>
      </c>
      <c r="Y67" s="21"/>
      <c r="Z67" s="25" t="str">
        <f>IF(AA$10&gt;$U$2,"",$F$1)</f>
        <v>│</v>
      </c>
      <c r="AA67" s="21"/>
      <c r="AB67" s="65" t="str">
        <f>IF(AC$10&gt;$U$2,"",$G$1)</f>
        <v>│</v>
      </c>
      <c r="AC67" s="21"/>
      <c r="AD67" s="25" t="str">
        <f>IF(AE$10&gt;$U$2,"",$F$1)</f>
        <v>│</v>
      </c>
      <c r="AE67" s="21"/>
      <c r="AF67" s="65" t="str">
        <f>IF(AG$10&gt;$U$2,"",$G$1)</f>
        <v>│</v>
      </c>
      <c r="AG67" s="21"/>
      <c r="AH67" s="25" t="str">
        <f>IF(AI$10&gt;$U$2,"",$F$1)</f>
        <v>│</v>
      </c>
      <c r="AI67" s="21"/>
      <c r="AJ67" s="65" t="str">
        <f>IF(AK$10&gt;$U$2,"",$G$1)</f>
        <v>│</v>
      </c>
      <c r="AK67" s="21"/>
      <c r="AL67" s="25" t="str">
        <f>IF(AM$10&gt;$U$2,"",$F$1)</f>
        <v>│</v>
      </c>
      <c r="AM67" s="21"/>
      <c r="AN67" s="65" t="str">
        <f>IF(AO$10&gt;$U$2,"",$G$1)</f>
        <v>│</v>
      </c>
      <c r="AO67" s="21"/>
      <c r="AP67" s="25" t="str">
        <f>IF(AQ$10&gt;$U$2,"",$F$1)</f>
        <v>│</v>
      </c>
      <c r="AQ67" s="21"/>
      <c r="AR67" s="65" t="str">
        <f>IF(AS$10&gt;$U$2,"",$G$1)</f>
        <v>│</v>
      </c>
      <c r="AS67" s="21"/>
      <c r="AT67" s="25" t="str">
        <f>IF(AU$10&gt;$U$2,"",$F$1)</f>
        <v>│</v>
      </c>
      <c r="AU67" s="21"/>
      <c r="AV67" s="65" t="str">
        <f>IF(AW$10&gt;$U$2,"",$G$1)</f>
        <v>│</v>
      </c>
      <c r="AW67" s="21"/>
      <c r="AX67" s="25" t="str">
        <f>IF(AY$10&gt;$U$2,"",$F$1)</f>
        <v>│</v>
      </c>
      <c r="AY67" s="21"/>
      <c r="AZ67" s="65" t="str">
        <f>IF(BA$10&gt;$U$2,"",$G$1)</f>
        <v>│</v>
      </c>
      <c r="BA67" s="21"/>
      <c r="BB67" s="25" t="str">
        <f>IF(BC$10&gt;$U$2,"",$F$1)</f>
        <v>│</v>
      </c>
      <c r="BC67" s="22"/>
      <c r="BD67" s="71"/>
      <c r="BE67" s="71"/>
      <c r="BF67" s="71"/>
      <c r="BG67" s="71"/>
      <c r="BH67" s="71"/>
      <c r="BI67" s="71"/>
      <c r="BJ67" s="71"/>
      <c r="BK67" s="71"/>
      <c r="BL67" s="71"/>
      <c r="BM67" s="71"/>
      <c r="BN67" s="71"/>
      <c r="BO67" s="71"/>
      <c r="BP67" s="71"/>
      <c r="BQ67" s="71"/>
      <c r="BR67" s="71"/>
      <c r="BS67" s="71"/>
      <c r="BT67" s="71"/>
      <c r="BU67" s="71"/>
      <c r="BV67" s="71"/>
      <c r="BW67" s="71"/>
      <c r="BX67" s="71"/>
      <c r="BY67" s="71"/>
      <c r="BZ67" s="71"/>
      <c r="CA67" s="71"/>
      <c r="CB67" s="71"/>
      <c r="CC67" s="71"/>
    </row>
    <row r="68" spans="2:81" x14ac:dyDescent="0.2">
      <c r="B68" s="23"/>
      <c r="C68" s="21"/>
      <c r="D68" s="21"/>
      <c r="E68" s="67">
        <f>+IF(E$10&gt;$U$2,"",C66/$Q$2)</f>
        <v>382.87122352067564</v>
      </c>
      <c r="F68" s="68"/>
      <c r="G68" s="21"/>
      <c r="H68" s="21"/>
      <c r="I68" s="21">
        <f>+IF(I$10&gt;$U$2,"",G70*$Q$2)</f>
        <v>382.87122352067564</v>
      </c>
      <c r="J68" s="21"/>
      <c r="K68" s="21"/>
      <c r="L68" s="21"/>
      <c r="M68" s="21">
        <f>+IF(M$10&gt;$U$2,"",K70*$Q$2)</f>
        <v>382.87122352067564</v>
      </c>
      <c r="N68" s="21"/>
      <c r="O68" s="21"/>
      <c r="P68" s="21"/>
      <c r="Q68" s="21">
        <f>+IF(Q$10&gt;$U$2,"",O70*$Q$2)</f>
        <v>382.87122352067564</v>
      </c>
      <c r="R68" s="65"/>
      <c r="S68" s="21"/>
      <c r="T68" s="21"/>
      <c r="U68" s="21">
        <f>+IF(U$10&gt;$U$2,"",S70*$Q$2)</f>
        <v>382.87122352067564</v>
      </c>
      <c r="V68" s="21"/>
      <c r="W68" s="21"/>
      <c r="X68" s="21"/>
      <c r="Y68" s="21">
        <f>+IF(Y$10&gt;$U$2,"",W70*$Q$2)</f>
        <v>382.87122352067564</v>
      </c>
      <c r="Z68" s="21"/>
      <c r="AA68" s="21"/>
      <c r="AB68" s="21"/>
      <c r="AC68" s="21">
        <f>+IF(AC$10&gt;$U$2,"",AA70*$Q$2)</f>
        <v>382.87122352067564</v>
      </c>
      <c r="AD68" s="21"/>
      <c r="AE68" s="21"/>
      <c r="AF68" s="21"/>
      <c r="AG68" s="21">
        <f>+IF(AG$10&gt;$U$2,"",AE70*$Q$2)</f>
        <v>382.87122352067564</v>
      </c>
      <c r="AH68" s="21"/>
      <c r="AI68" s="21"/>
      <c r="AJ68" s="21"/>
      <c r="AK68" s="21">
        <f>+IF(AK$10&gt;$U$2,"",AI70*$Q$2)</f>
        <v>382.87122352067564</v>
      </c>
      <c r="AL68" s="21"/>
      <c r="AM68" s="21"/>
      <c r="AN68" s="21"/>
      <c r="AO68" s="21">
        <f>+IF(AO$10&gt;$U$2,"",AM70*$Q$2)</f>
        <v>382.87122352067564</v>
      </c>
      <c r="AP68" s="21"/>
      <c r="AQ68" s="21"/>
      <c r="AR68" s="21"/>
      <c r="AS68" s="21">
        <f>+IF(AS$10&gt;$U$2,"",AQ70*$Q$2)</f>
        <v>382.87122352067564</v>
      </c>
      <c r="AT68" s="21"/>
      <c r="AU68" s="21"/>
      <c r="AV68" s="21"/>
      <c r="AW68" s="21">
        <f>+IF(AW$10&gt;$U$2,"",AU70*$Q$2)</f>
        <v>382.87122352067564</v>
      </c>
      <c r="AX68" s="21"/>
      <c r="AY68" s="21"/>
      <c r="AZ68" s="21"/>
      <c r="BA68" s="21">
        <f>+IF(BA$10&gt;$U$2,"",AY70*$Q$2)</f>
        <v>382.87122352067564</v>
      </c>
      <c r="BB68" s="21"/>
      <c r="BC68" s="22"/>
      <c r="BD68" s="71"/>
      <c r="BE68" s="71"/>
      <c r="BF68" s="71"/>
      <c r="BG68" s="71"/>
      <c r="BH68" s="71"/>
      <c r="BI68" s="71"/>
      <c r="BJ68" s="71"/>
      <c r="BK68" s="71"/>
      <c r="BL68" s="71"/>
      <c r="BM68" s="71"/>
      <c r="BN68" s="71"/>
      <c r="BO68" s="71"/>
      <c r="BP68" s="71"/>
      <c r="BQ68" s="71"/>
      <c r="BR68" s="71"/>
      <c r="BS68" s="71"/>
      <c r="BT68" s="71"/>
      <c r="BU68" s="71"/>
      <c r="BV68" s="71"/>
      <c r="BW68" s="71"/>
      <c r="BX68" s="71"/>
      <c r="BY68" s="71"/>
      <c r="BZ68" s="71"/>
      <c r="CA68" s="71"/>
      <c r="CB68" s="71"/>
      <c r="CC68" s="71"/>
    </row>
    <row r="69" spans="2:81" ht="14.25" x14ac:dyDescent="0.2">
      <c r="B69" s="23"/>
      <c r="C69" s="21"/>
      <c r="D69" s="21"/>
      <c r="E69" s="67"/>
      <c r="F69" s="65" t="str">
        <f>IF(G$10&gt;$U$2,"",$G$1)</f>
        <v>│</v>
      </c>
      <c r="G69" s="21"/>
      <c r="H69" s="25" t="str">
        <f>IF(I$10&gt;$U$2,"",$F$1)</f>
        <v>│</v>
      </c>
      <c r="I69" s="21"/>
      <c r="J69" s="65" t="str">
        <f>IF(K$10&gt;$U$2,"",$G$1)</f>
        <v>│</v>
      </c>
      <c r="K69" s="21"/>
      <c r="L69" s="25" t="str">
        <f>IF(M$10&gt;$U$2,"",$F$1)</f>
        <v>│</v>
      </c>
      <c r="M69" s="21"/>
      <c r="N69" s="65" t="str">
        <f>IF(O$10&gt;$U$2,"",$G$1)</f>
        <v>│</v>
      </c>
      <c r="O69" s="21"/>
      <c r="P69" s="25" t="str">
        <f>IF(Q$10&gt;$U$2,"",$F$1)</f>
        <v>│</v>
      </c>
      <c r="Q69" s="21"/>
      <c r="R69" s="65" t="str">
        <f>IF(S$10&gt;$U$2,"",$G$1)</f>
        <v>│</v>
      </c>
      <c r="S69" s="21"/>
      <c r="T69" s="25" t="str">
        <f>IF(U$10&gt;$U$2,"",$F$1)</f>
        <v>│</v>
      </c>
      <c r="U69" s="21"/>
      <c r="V69" s="65" t="str">
        <f>IF(W$10&gt;$U$2,"",$G$1)</f>
        <v>│</v>
      </c>
      <c r="W69" s="21"/>
      <c r="X69" s="25" t="str">
        <f>IF(Y$10&gt;$U$2,"",$F$1)</f>
        <v>│</v>
      </c>
      <c r="Y69" s="21"/>
      <c r="Z69" s="65" t="str">
        <f>IF(AA$10&gt;$U$2,"",$G$1)</f>
        <v>│</v>
      </c>
      <c r="AA69" s="21"/>
      <c r="AB69" s="25" t="str">
        <f>IF(AC$10&gt;$U$2,"",$F$1)</f>
        <v>│</v>
      </c>
      <c r="AC69" s="21"/>
      <c r="AD69" s="65" t="str">
        <f>IF(AE$10&gt;$U$2,"",$G$1)</f>
        <v>│</v>
      </c>
      <c r="AE69" s="21"/>
      <c r="AF69" s="25" t="str">
        <f>IF(AG$10&gt;$U$2,"",$F$1)</f>
        <v>│</v>
      </c>
      <c r="AG69" s="21"/>
      <c r="AH69" s="65" t="str">
        <f>IF(AI$10&gt;$U$2,"",$G$1)</f>
        <v>│</v>
      </c>
      <c r="AI69" s="21"/>
      <c r="AJ69" s="25" t="str">
        <f>IF(AK$10&gt;$U$2,"",$F$1)</f>
        <v>│</v>
      </c>
      <c r="AK69" s="21"/>
      <c r="AL69" s="65" t="str">
        <f>IF(AM$10&gt;$U$2,"",$G$1)</f>
        <v>│</v>
      </c>
      <c r="AM69" s="21"/>
      <c r="AN69" s="25" t="str">
        <f>IF(AO$10&gt;$U$2,"",$F$1)</f>
        <v>│</v>
      </c>
      <c r="AO69" s="21"/>
      <c r="AP69" s="65" t="str">
        <f>IF(AQ$10&gt;$U$2,"",$G$1)</f>
        <v>│</v>
      </c>
      <c r="AQ69" s="21"/>
      <c r="AR69" s="25" t="str">
        <f>IF(AS$10&gt;$U$2,"",$F$1)</f>
        <v>│</v>
      </c>
      <c r="AS69" s="21"/>
      <c r="AT69" s="65" t="str">
        <f>IF(AU$10&gt;$U$2,"",$G$1)</f>
        <v>│</v>
      </c>
      <c r="AU69" s="21"/>
      <c r="AV69" s="25" t="str">
        <f>IF(AW$10&gt;$U$2,"",$F$1)</f>
        <v>│</v>
      </c>
      <c r="AW69" s="21"/>
      <c r="AX69" s="65" t="str">
        <f>IF(AY$10&gt;$U$2,"",$G$1)</f>
        <v>│</v>
      </c>
      <c r="AY69" s="21"/>
      <c r="AZ69" s="25" t="str">
        <f>IF(BA$10&gt;$U$2,"",$F$1)</f>
        <v>│</v>
      </c>
      <c r="BA69" s="21"/>
      <c r="BB69" s="65" t="str">
        <f>IF(BC$10&gt;$U$2,"",$G$1)</f>
        <v>│</v>
      </c>
      <c r="BC69" s="22"/>
      <c r="BD69" s="71"/>
      <c r="BE69" s="71"/>
      <c r="BF69" s="71"/>
      <c r="BG69" s="71"/>
      <c r="BH69" s="71"/>
      <c r="BI69" s="71"/>
      <c r="BJ69" s="71"/>
      <c r="BK69" s="71"/>
      <c r="BL69" s="71"/>
      <c r="BM69" s="71"/>
      <c r="BN69" s="71"/>
      <c r="BO69" s="71"/>
      <c r="BP69" s="71"/>
      <c r="BQ69" s="71"/>
      <c r="BR69" s="71"/>
      <c r="BS69" s="71"/>
      <c r="BT69" s="71"/>
      <c r="BU69" s="71"/>
      <c r="BV69" s="71"/>
      <c r="BW69" s="71"/>
      <c r="BX69" s="71"/>
      <c r="BY69" s="71"/>
      <c r="BZ69" s="71"/>
      <c r="CA69" s="71"/>
      <c r="CB69" s="71"/>
      <c r="CC69" s="71"/>
    </row>
    <row r="70" spans="2:81" x14ac:dyDescent="0.2">
      <c r="B70" s="23"/>
      <c r="C70" s="21"/>
      <c r="D70" s="21"/>
      <c r="E70" s="21"/>
      <c r="F70" s="21"/>
      <c r="G70" s="21">
        <f>+IF(G$10&gt;$U$2,"",E68/$Q$2)</f>
        <v>366.47593450054791</v>
      </c>
      <c r="H70" s="21"/>
      <c r="I70" s="21"/>
      <c r="J70" s="21"/>
      <c r="K70" s="21">
        <f>+IF(K$10&gt;$U$2,"",I72*$Q$2)</f>
        <v>366.47593450054791</v>
      </c>
      <c r="L70" s="21"/>
      <c r="M70" s="21"/>
      <c r="N70" s="21"/>
      <c r="O70" s="21">
        <f>+IF(O$10&gt;$U$2,"",M72*$Q$2)</f>
        <v>366.47593450054791</v>
      </c>
      <c r="P70" s="21"/>
      <c r="Q70" s="21"/>
      <c r="R70" s="21"/>
      <c r="S70" s="21">
        <f>+IF(S$10&gt;$U$2,"",Q72*$Q$2)</f>
        <v>366.47593450054791</v>
      </c>
      <c r="T70" s="21"/>
      <c r="U70" s="21"/>
      <c r="V70" s="21"/>
      <c r="W70" s="21">
        <f>+IF(W$10&gt;$U$2,"",U72*$Q$2)</f>
        <v>366.47593450054791</v>
      </c>
      <c r="X70" s="21"/>
      <c r="Y70" s="21"/>
      <c r="Z70" s="21"/>
      <c r="AA70" s="21">
        <f>+IF(AA$10&gt;$U$2,"",Y72*$Q$2)</f>
        <v>366.47593450054791</v>
      </c>
      <c r="AB70" s="21"/>
      <c r="AC70" s="21"/>
      <c r="AD70" s="21"/>
      <c r="AE70" s="21">
        <f>+IF(AE$10&gt;$U$2,"",AC72*$Q$2)</f>
        <v>366.47593450054791</v>
      </c>
      <c r="AF70" s="21"/>
      <c r="AG70" s="21"/>
      <c r="AH70" s="21"/>
      <c r="AI70" s="21">
        <f>+IF(AI$10&gt;$U$2,"",AG72*$Q$2)</f>
        <v>366.47593450054791</v>
      </c>
      <c r="AJ70" s="21"/>
      <c r="AK70" s="21"/>
      <c r="AL70" s="21"/>
      <c r="AM70" s="21">
        <f>+IF(AM$10&gt;$U$2,"",AK72*$Q$2)</f>
        <v>366.47593450054791</v>
      </c>
      <c r="AN70" s="21"/>
      <c r="AO70" s="21"/>
      <c r="AP70" s="21"/>
      <c r="AQ70" s="21">
        <f>+IF(AQ$10&gt;$U$2,"",AO72*$Q$2)</f>
        <v>366.47593450054791</v>
      </c>
      <c r="AR70" s="21"/>
      <c r="AS70" s="21"/>
      <c r="AT70" s="21"/>
      <c r="AU70" s="21">
        <f>+IF(AU$10&gt;$U$2,"",AS72*$Q$2)</f>
        <v>366.47593450054791</v>
      </c>
      <c r="AV70" s="21"/>
      <c r="AW70" s="21"/>
      <c r="AX70" s="21"/>
      <c r="AY70" s="21">
        <f>+IF(AY$10&gt;$U$2,"",AW72*$Q$2)</f>
        <v>366.47593450054791</v>
      </c>
      <c r="AZ70" s="21"/>
      <c r="BA70" s="21"/>
      <c r="BB70" s="21"/>
      <c r="BC70" s="22">
        <f>+IF(BC$10&gt;$U$2,"",BA72*$Q$2)</f>
        <v>366.47593450054791</v>
      </c>
      <c r="BD70" s="71"/>
      <c r="BE70" s="71"/>
      <c r="BF70" s="71"/>
      <c r="BG70" s="71"/>
      <c r="BH70" s="71"/>
      <c r="BI70" s="71"/>
      <c r="BJ70" s="71"/>
      <c r="BK70" s="71"/>
      <c r="BL70" s="71"/>
      <c r="BM70" s="71"/>
      <c r="BN70" s="71"/>
      <c r="BO70" s="71"/>
      <c r="BP70" s="71"/>
      <c r="BQ70" s="71"/>
      <c r="BR70" s="71"/>
      <c r="BS70" s="71"/>
      <c r="BT70" s="71"/>
      <c r="BU70" s="71"/>
      <c r="BV70" s="71"/>
      <c r="BW70" s="71"/>
      <c r="BX70" s="71"/>
      <c r="BY70" s="71"/>
      <c r="BZ70" s="71"/>
      <c r="CA70" s="71"/>
      <c r="CB70" s="71"/>
      <c r="CC70" s="71"/>
    </row>
    <row r="71" spans="2:81" ht="14.25" x14ac:dyDescent="0.2">
      <c r="B71" s="23"/>
      <c r="C71" s="21"/>
      <c r="D71" s="21"/>
      <c r="E71" s="21"/>
      <c r="F71" s="21"/>
      <c r="G71" s="21"/>
      <c r="H71" s="65"/>
      <c r="I71" s="21"/>
      <c r="J71" s="25" t="str">
        <f>IF(K$10&gt;$U$2,"",$F$1)</f>
        <v>│</v>
      </c>
      <c r="K71" s="21"/>
      <c r="L71" s="65" t="str">
        <f>IF(M$10&gt;$U$2,"",$G$1)</f>
        <v>│</v>
      </c>
      <c r="M71" s="21"/>
      <c r="N71" s="25" t="str">
        <f>IF(O$10&gt;$U$2,"",$F$1)</f>
        <v>│</v>
      </c>
      <c r="O71" s="21"/>
      <c r="P71" s="65" t="str">
        <f>IF(Q$10&gt;$U$2,"",$G$1)</f>
        <v>│</v>
      </c>
      <c r="Q71" s="21"/>
      <c r="R71" s="25" t="str">
        <f>IF(S$10&gt;$U$2,"",$F$1)</f>
        <v>│</v>
      </c>
      <c r="S71" s="21"/>
      <c r="T71" s="65" t="str">
        <f>IF(U$10&gt;$U$2,"",$G$1)</f>
        <v>│</v>
      </c>
      <c r="U71" s="21"/>
      <c r="V71" s="25" t="str">
        <f>IF(W$10&gt;$U$2,"",$F$1)</f>
        <v>│</v>
      </c>
      <c r="W71" s="21"/>
      <c r="X71" s="65" t="str">
        <f>IF(Y$10&gt;$U$2,"",$G$1)</f>
        <v>│</v>
      </c>
      <c r="Y71" s="21"/>
      <c r="Z71" s="25" t="str">
        <f>IF(AA$10&gt;$U$2,"",$F$1)</f>
        <v>│</v>
      </c>
      <c r="AA71" s="21"/>
      <c r="AB71" s="65" t="str">
        <f>IF(AC$10&gt;$U$2,"",$G$1)</f>
        <v>│</v>
      </c>
      <c r="AC71" s="21"/>
      <c r="AD71" s="25" t="str">
        <f>IF(AE$10&gt;$U$2,"",$F$1)</f>
        <v>│</v>
      </c>
      <c r="AE71" s="21"/>
      <c r="AF71" s="65" t="str">
        <f>IF(AG$10&gt;$U$2,"",$G$1)</f>
        <v>│</v>
      </c>
      <c r="AG71" s="21"/>
      <c r="AH71" s="25" t="str">
        <f>IF(AI$10&gt;$U$2,"",$F$1)</f>
        <v>│</v>
      </c>
      <c r="AI71" s="21"/>
      <c r="AJ71" s="65" t="str">
        <f>IF(AK$10&gt;$U$2,"",$G$1)</f>
        <v>│</v>
      </c>
      <c r="AK71" s="21"/>
      <c r="AL71" s="25" t="str">
        <f>IF(AM$10&gt;$U$2,"",$F$1)</f>
        <v>│</v>
      </c>
      <c r="AM71" s="21"/>
      <c r="AN71" s="65" t="str">
        <f>IF(AO$10&gt;$U$2,"",$G$1)</f>
        <v>│</v>
      </c>
      <c r="AO71" s="21"/>
      <c r="AP71" s="25" t="str">
        <f>IF(AQ$10&gt;$U$2,"",$F$1)</f>
        <v>│</v>
      </c>
      <c r="AQ71" s="21"/>
      <c r="AR71" s="65" t="str">
        <f>IF(AS$10&gt;$U$2,"",$G$1)</f>
        <v>│</v>
      </c>
      <c r="AS71" s="21"/>
      <c r="AT71" s="25" t="str">
        <f>IF(AU$10&gt;$U$2,"",$F$1)</f>
        <v>│</v>
      </c>
      <c r="AU71" s="21"/>
      <c r="AV71" s="65" t="str">
        <f>IF(AW$10&gt;$U$2,"",$G$1)</f>
        <v>│</v>
      </c>
      <c r="AW71" s="21"/>
      <c r="AX71" s="25" t="str">
        <f>IF(AY$10&gt;$U$2,"",$F$1)</f>
        <v>│</v>
      </c>
      <c r="AY71" s="21"/>
      <c r="AZ71" s="65" t="str">
        <f>IF(BA$10&gt;$U$2,"",$G$1)</f>
        <v>│</v>
      </c>
      <c r="BA71" s="21"/>
      <c r="BB71" s="25" t="str">
        <f>IF(BC$10&gt;$U$2,"",$F$1)</f>
        <v>│</v>
      </c>
      <c r="BC71" s="22"/>
      <c r="BD71" s="71"/>
      <c r="BE71" s="71"/>
      <c r="BF71" s="71"/>
      <c r="BG71" s="71"/>
      <c r="BH71" s="71"/>
      <c r="BI71" s="71"/>
      <c r="BJ71" s="71"/>
      <c r="BK71" s="71"/>
      <c r="BL71" s="71"/>
      <c r="BM71" s="71"/>
      <c r="BN71" s="71"/>
      <c r="BO71" s="71"/>
      <c r="BP71" s="71"/>
      <c r="BQ71" s="71"/>
      <c r="BR71" s="71"/>
      <c r="BS71" s="71"/>
      <c r="BT71" s="71"/>
      <c r="BU71" s="71"/>
      <c r="BV71" s="71"/>
      <c r="BW71" s="71"/>
      <c r="BX71" s="71"/>
      <c r="BY71" s="71"/>
      <c r="BZ71" s="71"/>
      <c r="CA71" s="71"/>
      <c r="CB71" s="71"/>
      <c r="CC71" s="71"/>
    </row>
    <row r="72" spans="2:81" x14ac:dyDescent="0.2">
      <c r="B72" s="23"/>
      <c r="C72" s="21"/>
      <c r="D72" s="21"/>
      <c r="E72" s="21"/>
      <c r="F72" s="21"/>
      <c r="G72" s="21"/>
      <c r="H72" s="21"/>
      <c r="I72" s="21">
        <f>+IF(I$10&gt;$U$2,"",G70/$Q$2)</f>
        <v>350.78272358276939</v>
      </c>
      <c r="J72" s="21"/>
      <c r="K72" s="21"/>
      <c r="L72" s="21"/>
      <c r="M72" s="21">
        <f>+IF(M$10&gt;$U$2,"",K74*$Q$2)</f>
        <v>350.78272358276939</v>
      </c>
      <c r="N72" s="21"/>
      <c r="O72" s="21"/>
      <c r="P72" s="21"/>
      <c r="Q72" s="21">
        <f>+IF(Q$10&gt;$U$2,"",O74*$Q$2)</f>
        <v>350.78272358276939</v>
      </c>
      <c r="R72" s="21"/>
      <c r="S72" s="21"/>
      <c r="T72" s="21"/>
      <c r="U72" s="21">
        <f>+IF(U$10&gt;$U$2,"",S74*$Q$2)</f>
        <v>350.78272358276939</v>
      </c>
      <c r="V72" s="21"/>
      <c r="W72" s="21"/>
      <c r="X72" s="21"/>
      <c r="Y72" s="21">
        <f>+IF(Y$10&gt;$U$2,"",W74*$Q$2)</f>
        <v>350.78272358276939</v>
      </c>
      <c r="Z72" s="21"/>
      <c r="AA72" s="21"/>
      <c r="AB72" s="20"/>
      <c r="AC72" s="21">
        <f>+IF(AC$10&gt;$U$2,"",AA74*$Q$2)</f>
        <v>350.78272358276939</v>
      </c>
      <c r="AD72" s="21"/>
      <c r="AE72" s="21"/>
      <c r="AF72" s="21"/>
      <c r="AG72" s="21">
        <f>+IF(AG$10&gt;$U$2,"",AE74*$Q$2)</f>
        <v>350.78272358276939</v>
      </c>
      <c r="AH72" s="21"/>
      <c r="AI72" s="21"/>
      <c r="AJ72" s="21"/>
      <c r="AK72" s="21">
        <f>+IF(AK$10&gt;$U$2,"",AI74*$Q$2)</f>
        <v>350.78272358276939</v>
      </c>
      <c r="AL72" s="21"/>
      <c r="AM72" s="21"/>
      <c r="AN72" s="21"/>
      <c r="AO72" s="21">
        <f>+IF(AO$10&gt;$U$2,"",AM74*$Q$2)</f>
        <v>350.78272358276939</v>
      </c>
      <c r="AP72" s="21"/>
      <c r="AQ72" s="21"/>
      <c r="AR72" s="21"/>
      <c r="AS72" s="21">
        <f>+IF(AS$10&gt;$U$2,"",AQ74*$Q$2)</f>
        <v>350.78272358276939</v>
      </c>
      <c r="AT72" s="21"/>
      <c r="AU72" s="21"/>
      <c r="AV72" s="21"/>
      <c r="AW72" s="21">
        <f>+IF(AW$10&gt;$U$2,"",AU74*$Q$2)</f>
        <v>350.78272358276939</v>
      </c>
      <c r="AX72" s="21"/>
      <c r="AY72" s="21"/>
      <c r="AZ72" s="21"/>
      <c r="BA72" s="21">
        <f>+IF(BA$10&gt;$U$2,"",AY74*$Q$2)</f>
        <v>350.78272358276939</v>
      </c>
      <c r="BB72" s="21"/>
      <c r="BC72" s="22"/>
      <c r="BD72" s="71"/>
      <c r="BE72" s="71"/>
      <c r="BF72" s="71"/>
      <c r="BG72" s="71"/>
      <c r="BH72" s="71"/>
      <c r="BI72" s="71"/>
      <c r="BJ72" s="71"/>
      <c r="BK72" s="71"/>
      <c r="BL72" s="71"/>
      <c r="BM72" s="71"/>
      <c r="BN72" s="71"/>
      <c r="BO72" s="71"/>
      <c r="BP72" s="71"/>
      <c r="BQ72" s="71"/>
      <c r="BR72" s="71"/>
      <c r="BS72" s="71"/>
      <c r="BT72" s="71"/>
      <c r="BU72" s="71"/>
      <c r="BV72" s="71"/>
      <c r="BW72" s="71"/>
      <c r="BX72" s="71"/>
      <c r="BY72" s="71"/>
      <c r="BZ72" s="71"/>
      <c r="CA72" s="71"/>
      <c r="CB72" s="71"/>
      <c r="CC72" s="71"/>
    </row>
    <row r="73" spans="2:81" ht="14.25" x14ac:dyDescent="0.2">
      <c r="B73" s="23"/>
      <c r="C73" s="21"/>
      <c r="D73" s="21"/>
      <c r="E73" s="21"/>
      <c r="F73" s="21"/>
      <c r="G73" s="21"/>
      <c r="H73" s="21"/>
      <c r="I73" s="21"/>
      <c r="J73" s="65" t="str">
        <f>IF(K$10&gt;$U$2,"",$G$1)</f>
        <v>│</v>
      </c>
      <c r="K73" s="21"/>
      <c r="L73" s="25" t="str">
        <f>IF(M$10&gt;$U$2,"",$F$1)</f>
        <v>│</v>
      </c>
      <c r="M73" s="21"/>
      <c r="N73" s="65" t="str">
        <f>IF(O$10&gt;$U$2,"",$G$1)</f>
        <v>│</v>
      </c>
      <c r="O73" s="21"/>
      <c r="P73" s="25" t="str">
        <f>IF(Q$10&gt;$U$2,"",$F$1)</f>
        <v>│</v>
      </c>
      <c r="Q73" s="21"/>
      <c r="R73" s="65" t="str">
        <f>IF(S$10&gt;$U$2,"",$G$1)</f>
        <v>│</v>
      </c>
      <c r="S73" s="21"/>
      <c r="T73" s="25" t="str">
        <f>IF(U$10&gt;$U$2,"",$F$1)</f>
        <v>│</v>
      </c>
      <c r="U73" s="21"/>
      <c r="V73" s="65" t="str">
        <f>IF(W$10&gt;$U$2,"",$G$1)</f>
        <v>│</v>
      </c>
      <c r="W73" s="21"/>
      <c r="X73" s="25" t="str">
        <f>IF(Y$10&gt;$U$2,"",$F$1)</f>
        <v>│</v>
      </c>
      <c r="Y73" s="21"/>
      <c r="Z73" s="65" t="str">
        <f>IF(AA$10&gt;$U$2,"",$G$1)</f>
        <v>│</v>
      </c>
      <c r="AA73" s="21"/>
      <c r="AB73" s="25" t="str">
        <f>IF(AC$10&gt;$U$2,"",$F$1)</f>
        <v>│</v>
      </c>
      <c r="AC73" s="21"/>
      <c r="AD73" s="65" t="str">
        <f>IF(AE$10&gt;$U$2,"",$G$1)</f>
        <v>│</v>
      </c>
      <c r="AE73" s="21"/>
      <c r="AF73" s="25" t="str">
        <f>IF(AG$10&gt;$U$2,"",$F$1)</f>
        <v>│</v>
      </c>
      <c r="AG73" s="21"/>
      <c r="AH73" s="65" t="str">
        <f>IF(AI$10&gt;$U$2,"",$G$1)</f>
        <v>│</v>
      </c>
      <c r="AI73" s="21"/>
      <c r="AJ73" s="25" t="str">
        <f>IF(AK$10&gt;$U$2,"",$F$1)</f>
        <v>│</v>
      </c>
      <c r="AK73" s="21"/>
      <c r="AL73" s="65" t="str">
        <f>IF(AM$10&gt;$U$2,"",$G$1)</f>
        <v>│</v>
      </c>
      <c r="AM73" s="21"/>
      <c r="AN73" s="25" t="str">
        <f>IF(AO$10&gt;$U$2,"",$F$1)</f>
        <v>│</v>
      </c>
      <c r="AO73" s="21"/>
      <c r="AP73" s="65" t="str">
        <f>IF(AQ$10&gt;$U$2,"",$G$1)</f>
        <v>│</v>
      </c>
      <c r="AQ73" s="21"/>
      <c r="AR73" s="25" t="str">
        <f>IF(AS$10&gt;$U$2,"",$F$1)</f>
        <v>│</v>
      </c>
      <c r="AS73" s="21"/>
      <c r="AT73" s="65" t="str">
        <f>IF(AU$10&gt;$U$2,"",$G$1)</f>
        <v>│</v>
      </c>
      <c r="AU73" s="21"/>
      <c r="AV73" s="25" t="str">
        <f>IF(AW$10&gt;$U$2,"",$F$1)</f>
        <v>│</v>
      </c>
      <c r="AW73" s="21"/>
      <c r="AX73" s="65" t="str">
        <f>IF(AY$10&gt;$U$2,"",$G$1)</f>
        <v>│</v>
      </c>
      <c r="AY73" s="21"/>
      <c r="AZ73" s="25" t="str">
        <f>IF(BA$10&gt;$U$2,"",$F$1)</f>
        <v>│</v>
      </c>
      <c r="BA73" s="21"/>
      <c r="BB73" s="65" t="str">
        <f>IF(BC$10&gt;$U$2,"",$G$1)</f>
        <v>│</v>
      </c>
      <c r="BC73" s="22"/>
      <c r="BD73" s="71"/>
      <c r="BE73" s="71"/>
      <c r="BF73" s="71"/>
      <c r="BG73" s="71"/>
      <c r="BH73" s="71"/>
      <c r="BI73" s="71"/>
      <c r="BJ73" s="71"/>
      <c r="BK73" s="71"/>
      <c r="BL73" s="71"/>
      <c r="BM73" s="71"/>
      <c r="BN73" s="71"/>
      <c r="BO73" s="71"/>
      <c r="BP73" s="71"/>
      <c r="BQ73" s="71"/>
      <c r="BR73" s="71"/>
      <c r="BS73" s="71"/>
      <c r="BT73" s="71"/>
      <c r="BU73" s="71"/>
      <c r="BV73" s="71"/>
      <c r="BW73" s="71"/>
      <c r="BX73" s="71"/>
      <c r="BY73" s="71"/>
      <c r="BZ73" s="71"/>
      <c r="CA73" s="71"/>
      <c r="CB73" s="71"/>
      <c r="CC73" s="71"/>
    </row>
    <row r="74" spans="2:81" x14ac:dyDescent="0.2">
      <c r="B74" s="23"/>
      <c r="C74" s="21"/>
      <c r="D74" s="21"/>
      <c r="E74" s="21"/>
      <c r="F74" s="21"/>
      <c r="G74" s="21"/>
      <c r="H74" s="21"/>
      <c r="I74" s="21"/>
      <c r="J74" s="65"/>
      <c r="K74" s="21">
        <f>+IF(K$10&gt;$U$2,"",I72/$Q$2)</f>
        <v>335.76152642012471</v>
      </c>
      <c r="L74" s="21"/>
      <c r="M74" s="21"/>
      <c r="N74" s="21"/>
      <c r="O74" s="21">
        <f>+IF(O$10&gt;$U$2,"",M76*$Q$2)</f>
        <v>335.76152642012471</v>
      </c>
      <c r="P74" s="21"/>
      <c r="Q74" s="21"/>
      <c r="R74" s="21"/>
      <c r="S74" s="21">
        <f>+IF(S$10&gt;$U$2,"",Q76*$Q$2)</f>
        <v>335.76152642012471</v>
      </c>
      <c r="T74" s="21"/>
      <c r="U74" s="21"/>
      <c r="V74" s="21"/>
      <c r="W74" s="21">
        <f>+IF(W$10&gt;$U$2,"",U76*$Q$2)</f>
        <v>335.76152642012471</v>
      </c>
      <c r="X74" s="21"/>
      <c r="Y74" s="21"/>
      <c r="Z74" s="21"/>
      <c r="AA74" s="21">
        <f>+IF(AA$10&gt;$U$2,"",Y76*$Q$2)</f>
        <v>335.76152642012471</v>
      </c>
      <c r="AB74" s="21"/>
      <c r="AC74" s="21"/>
      <c r="AD74" s="21"/>
      <c r="AE74" s="21">
        <f>+IF(AE$10&gt;$U$2,"",AC76*$Q$2)</f>
        <v>335.76152642012471</v>
      </c>
      <c r="AF74" s="21"/>
      <c r="AG74" s="21"/>
      <c r="AH74" s="21"/>
      <c r="AI74" s="21">
        <f>+IF(AI$10&gt;$U$2,"",AG76*$Q$2)</f>
        <v>335.76152642012471</v>
      </c>
      <c r="AJ74" s="21"/>
      <c r="AK74" s="21"/>
      <c r="AL74" s="21"/>
      <c r="AM74" s="21">
        <f>+IF(AM$10&gt;$U$2,"",AK76*$Q$2)</f>
        <v>335.76152642012471</v>
      </c>
      <c r="AN74" s="21"/>
      <c r="AO74" s="21"/>
      <c r="AP74" s="21"/>
      <c r="AQ74" s="21">
        <f>+IF(AQ$10&gt;$U$2,"",AO76*$Q$2)</f>
        <v>335.76152642012471</v>
      </c>
      <c r="AR74" s="21"/>
      <c r="AS74" s="21"/>
      <c r="AT74" s="21"/>
      <c r="AU74" s="21">
        <f>+IF(AU$10&gt;$U$2,"",AS76*$Q$2)</f>
        <v>335.76152642012471</v>
      </c>
      <c r="AV74" s="21"/>
      <c r="AW74" s="21"/>
      <c r="AX74" s="21"/>
      <c r="AY74" s="21">
        <f>+IF(AY$10&gt;$U$2,"",AW76*$Q$2)</f>
        <v>335.76152642012471</v>
      </c>
      <c r="AZ74" s="21"/>
      <c r="BA74" s="21"/>
      <c r="BB74" s="21"/>
      <c r="BC74" s="22">
        <f>+IF(BC$10&gt;$U$2,"",BA76*$Q$2)</f>
        <v>335.76152642012471</v>
      </c>
      <c r="BD74" s="71"/>
      <c r="BE74" s="71"/>
      <c r="BF74" s="71"/>
      <c r="BG74" s="71"/>
      <c r="BH74" s="71"/>
      <c r="BI74" s="71"/>
      <c r="BJ74" s="71"/>
      <c r="BK74" s="71"/>
      <c r="BL74" s="71"/>
      <c r="BM74" s="71"/>
      <c r="BN74" s="71"/>
      <c r="BO74" s="71"/>
      <c r="BP74" s="71"/>
      <c r="BQ74" s="71"/>
      <c r="BR74" s="71"/>
      <c r="BS74" s="71"/>
      <c r="BT74" s="71"/>
      <c r="BU74" s="71"/>
      <c r="BV74" s="71"/>
      <c r="BW74" s="71"/>
      <c r="BX74" s="71"/>
      <c r="BY74" s="71"/>
      <c r="BZ74" s="71"/>
      <c r="CA74" s="71"/>
      <c r="CB74" s="71"/>
      <c r="CC74" s="71"/>
    </row>
    <row r="75" spans="2:81" ht="14.25" x14ac:dyDescent="0.2">
      <c r="B75" s="23"/>
      <c r="C75" s="21"/>
      <c r="D75" s="21"/>
      <c r="E75" s="21"/>
      <c r="F75" s="21"/>
      <c r="G75" s="21"/>
      <c r="H75" s="21"/>
      <c r="I75" s="21"/>
      <c r="J75" s="65"/>
      <c r="K75" s="21"/>
      <c r="L75" s="65" t="str">
        <f>IF(M$10&gt;$U$2,"",$G$1)</f>
        <v>│</v>
      </c>
      <c r="M75" s="21"/>
      <c r="N75" s="25" t="str">
        <f>IF(O$10&gt;$U$2,"",$F$1)</f>
        <v>│</v>
      </c>
      <c r="O75" s="21"/>
      <c r="P75" s="65" t="str">
        <f>IF(Q$10&gt;$U$2,"",$G$1)</f>
        <v>│</v>
      </c>
      <c r="Q75" s="21"/>
      <c r="R75" s="25" t="str">
        <f>IF(S$10&gt;$U$2,"",$F$1)</f>
        <v>│</v>
      </c>
      <c r="S75" s="21"/>
      <c r="T75" s="65" t="str">
        <f>IF(U$10&gt;$U$2,"",$G$1)</f>
        <v>│</v>
      </c>
      <c r="U75" s="21"/>
      <c r="V75" s="25" t="str">
        <f>IF(W$10&gt;$U$2,"",$F$1)</f>
        <v>│</v>
      </c>
      <c r="W75" s="21"/>
      <c r="X75" s="65" t="str">
        <f>IF(Y$10&gt;$U$2,"",$G$1)</f>
        <v>│</v>
      </c>
      <c r="Y75" s="21"/>
      <c r="Z75" s="25" t="str">
        <f>IF(AA$10&gt;$U$2,"",$F$1)</f>
        <v>│</v>
      </c>
      <c r="AA75" s="21"/>
      <c r="AB75" s="65" t="str">
        <f>IF(AC$10&gt;$U$2,"",$G$1)</f>
        <v>│</v>
      </c>
      <c r="AC75" s="21"/>
      <c r="AD75" s="25" t="str">
        <f>IF(AE$10&gt;$U$2,"",$F$1)</f>
        <v>│</v>
      </c>
      <c r="AE75" s="21"/>
      <c r="AF75" s="65" t="str">
        <f>IF(AG$10&gt;$U$2,"",$G$1)</f>
        <v>│</v>
      </c>
      <c r="AG75" s="21"/>
      <c r="AH75" s="25" t="str">
        <f>IF(AI$10&gt;$U$2,"",$F$1)</f>
        <v>│</v>
      </c>
      <c r="AI75" s="21"/>
      <c r="AJ75" s="65" t="str">
        <f>IF(AK$10&gt;$U$2,"",$G$1)</f>
        <v>│</v>
      </c>
      <c r="AK75" s="21"/>
      <c r="AL75" s="25" t="str">
        <f>IF(AM$10&gt;$U$2,"",$F$1)</f>
        <v>│</v>
      </c>
      <c r="AM75" s="21"/>
      <c r="AN75" s="65" t="str">
        <f>IF(AO$10&gt;$U$2,"",$G$1)</f>
        <v>│</v>
      </c>
      <c r="AO75" s="21"/>
      <c r="AP75" s="25" t="str">
        <f>IF(AQ$10&gt;$U$2,"",$F$1)</f>
        <v>│</v>
      </c>
      <c r="AQ75" s="21"/>
      <c r="AR75" s="65" t="str">
        <f>IF(AS$10&gt;$U$2,"",$G$1)</f>
        <v>│</v>
      </c>
      <c r="AS75" s="21"/>
      <c r="AT75" s="25" t="str">
        <f>IF(AU$10&gt;$U$2,"",$F$1)</f>
        <v>│</v>
      </c>
      <c r="AU75" s="21"/>
      <c r="AV75" s="65" t="str">
        <f>IF(AW$10&gt;$U$2,"",$G$1)</f>
        <v>│</v>
      </c>
      <c r="AW75" s="21"/>
      <c r="AX75" s="25" t="str">
        <f>IF(AY$10&gt;$U$2,"",$F$1)</f>
        <v>│</v>
      </c>
      <c r="AY75" s="21"/>
      <c r="AZ75" s="65" t="str">
        <f>IF(BA$10&gt;$U$2,"",$G$1)</f>
        <v>│</v>
      </c>
      <c r="BA75" s="21"/>
      <c r="BB75" s="25" t="str">
        <f>IF(BC$10&gt;$U$2,"",$F$1)</f>
        <v>│</v>
      </c>
      <c r="BC75" s="22"/>
      <c r="BD75" s="71"/>
      <c r="BE75" s="71"/>
      <c r="BF75" s="71"/>
      <c r="BG75" s="71"/>
      <c r="BH75" s="71"/>
      <c r="BI75" s="71"/>
      <c r="BJ75" s="71"/>
      <c r="BK75" s="71"/>
      <c r="BL75" s="71"/>
      <c r="BM75" s="71"/>
      <c r="BN75" s="71"/>
      <c r="BO75" s="71"/>
      <c r="BP75" s="71"/>
      <c r="BQ75" s="71"/>
      <c r="BR75" s="71"/>
      <c r="BS75" s="71"/>
      <c r="BT75" s="71"/>
      <c r="BU75" s="71"/>
      <c r="BV75" s="71"/>
      <c r="BW75" s="71"/>
      <c r="BX75" s="71"/>
      <c r="BY75" s="71"/>
      <c r="BZ75" s="71"/>
      <c r="CA75" s="71"/>
      <c r="CB75" s="71"/>
      <c r="CC75" s="71"/>
    </row>
    <row r="76" spans="2:81" x14ac:dyDescent="0.2">
      <c r="B76" s="23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>
        <f>+IF(M$10&gt;$U$2,"",K74/$Q$2)</f>
        <v>321.38356607910703</v>
      </c>
      <c r="N76" s="21"/>
      <c r="O76" s="21"/>
      <c r="P76" s="21"/>
      <c r="Q76" s="21">
        <f>+IF(Q$10&gt;$U$2,"",O74/$Q$2)</f>
        <v>321.38356607910703</v>
      </c>
      <c r="R76" s="21"/>
      <c r="S76" s="21"/>
      <c r="T76" s="21"/>
      <c r="U76" s="21">
        <f>+IF(U$10&gt;$U$2,"",S74/$Q$2)</f>
        <v>321.38356607910703</v>
      </c>
      <c r="V76" s="21"/>
      <c r="W76" s="21"/>
      <c r="X76" s="21"/>
      <c r="Y76" s="21">
        <f>+IF(Y$10&gt;$U$2,"",W74/$Q$2)</f>
        <v>321.38356607910703</v>
      </c>
      <c r="Z76" s="21"/>
      <c r="AA76" s="21"/>
      <c r="AB76" s="20"/>
      <c r="AC76" s="21">
        <f>+IF(AC$10&gt;$U$2,"",AA74/$Q$2)</f>
        <v>321.38356607910703</v>
      </c>
      <c r="AD76" s="21"/>
      <c r="AE76" s="21"/>
      <c r="AF76" s="21"/>
      <c r="AG76" s="21">
        <f>+IF(AG$10&gt;$U$2,"",AE74/$Q$2)</f>
        <v>321.38356607910703</v>
      </c>
      <c r="AH76" s="21"/>
      <c r="AI76" s="21"/>
      <c r="AJ76" s="21"/>
      <c r="AK76" s="21">
        <f>+IF(AK$10&gt;$U$2,"",AI74/$Q$2)</f>
        <v>321.38356607910703</v>
      </c>
      <c r="AL76" s="21"/>
      <c r="AM76" s="21"/>
      <c r="AN76" s="21"/>
      <c r="AO76" s="21">
        <f>+IF(AO$10&gt;$U$2,"",AM74/$Q$2)</f>
        <v>321.38356607910703</v>
      </c>
      <c r="AP76" s="21"/>
      <c r="AQ76" s="21"/>
      <c r="AR76" s="21"/>
      <c r="AS76" s="21">
        <f>+IF(AS$10&gt;$U$2,"",AQ74/$Q$2)</f>
        <v>321.38356607910703</v>
      </c>
      <c r="AT76" s="21"/>
      <c r="AU76" s="21"/>
      <c r="AV76" s="21"/>
      <c r="AW76" s="21">
        <f>+IF(AW$10&gt;$U$2,"",AU74/$Q$2)</f>
        <v>321.38356607910703</v>
      </c>
      <c r="AX76" s="21"/>
      <c r="AY76" s="21"/>
      <c r="AZ76" s="21"/>
      <c r="BA76" s="21">
        <f>+IF(BA$10&gt;$U$2,"",AY74/$Q$2)</f>
        <v>321.38356607910703</v>
      </c>
      <c r="BB76" s="21"/>
      <c r="BC76" s="22"/>
      <c r="BD76" s="71"/>
      <c r="BE76" s="71"/>
      <c r="BF76" s="71"/>
      <c r="BG76" s="71"/>
      <c r="BH76" s="71"/>
      <c r="BI76" s="71"/>
      <c r="BJ76" s="71"/>
      <c r="BK76" s="71"/>
      <c r="BL76" s="71"/>
      <c r="BM76" s="71"/>
      <c r="BN76" s="71"/>
      <c r="BO76" s="71"/>
      <c r="BP76" s="71"/>
      <c r="BQ76" s="71"/>
      <c r="BR76" s="71"/>
      <c r="BS76" s="71"/>
      <c r="BT76" s="71"/>
      <c r="BU76" s="71"/>
      <c r="BV76" s="71"/>
      <c r="BW76" s="71"/>
      <c r="BX76" s="71"/>
      <c r="BY76" s="71"/>
      <c r="BZ76" s="71"/>
      <c r="CA76" s="71"/>
      <c r="CB76" s="71"/>
      <c r="CC76" s="71"/>
    </row>
    <row r="77" spans="2:81" ht="14.25" x14ac:dyDescent="0.2">
      <c r="B77" s="23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65" t="str">
        <f>IF(O$10&gt;$U$2,"",$G$1)</f>
        <v>│</v>
      </c>
      <c r="O77" s="21"/>
      <c r="P77" s="25" t="str">
        <f>IF(Q$10&gt;$U$2,"",$F$1)</f>
        <v>│</v>
      </c>
      <c r="Q77" s="21"/>
      <c r="R77" s="65" t="str">
        <f>IF(S$10&gt;$U$2,"",$G$1)</f>
        <v>│</v>
      </c>
      <c r="S77" s="21"/>
      <c r="T77" s="25" t="str">
        <f>IF(U$10&gt;$U$2,"",$F$1)</f>
        <v>│</v>
      </c>
      <c r="U77" s="21"/>
      <c r="V77" s="65" t="str">
        <f>IF(W$10&gt;$U$2,"",$G$1)</f>
        <v>│</v>
      </c>
      <c r="W77" s="21"/>
      <c r="X77" s="25" t="str">
        <f>IF(Y$10&gt;$U$2,"",$F$1)</f>
        <v>│</v>
      </c>
      <c r="Y77" s="21"/>
      <c r="Z77" s="65" t="str">
        <f>IF(AA$10&gt;$U$2,"",$G$1)</f>
        <v>│</v>
      </c>
      <c r="AA77" s="21"/>
      <c r="AB77" s="25" t="str">
        <f>IF(AC$10&gt;$U$2,"",$F$1)</f>
        <v>│</v>
      </c>
      <c r="AC77" s="21"/>
      <c r="AD77" s="65" t="str">
        <f>IF(AE$10&gt;$U$2,"",$G$1)</f>
        <v>│</v>
      </c>
      <c r="AE77" s="21"/>
      <c r="AF77" s="25" t="str">
        <f>IF(AG$10&gt;$U$2,"",$F$1)</f>
        <v>│</v>
      </c>
      <c r="AG77" s="21"/>
      <c r="AH77" s="65" t="str">
        <f>IF(AI$10&gt;$U$2,"",$G$1)</f>
        <v>│</v>
      </c>
      <c r="AI77" s="21"/>
      <c r="AJ77" s="25" t="str">
        <f>IF(AK$10&gt;$U$2,"",$F$1)</f>
        <v>│</v>
      </c>
      <c r="AK77" s="21"/>
      <c r="AL77" s="65" t="str">
        <f>IF(AM$10&gt;$U$2,"",$G$1)</f>
        <v>│</v>
      </c>
      <c r="AM77" s="21"/>
      <c r="AN77" s="25" t="str">
        <f>IF(AO$10&gt;$U$2,"",$F$1)</f>
        <v>│</v>
      </c>
      <c r="AO77" s="21"/>
      <c r="AP77" s="65" t="str">
        <f>IF(AQ$10&gt;$U$2,"",$G$1)</f>
        <v>│</v>
      </c>
      <c r="AQ77" s="21"/>
      <c r="AR77" s="25" t="str">
        <f>IF(AS$10&gt;$U$2,"",$F$1)</f>
        <v>│</v>
      </c>
      <c r="AS77" s="21"/>
      <c r="AT77" s="65" t="str">
        <f>IF(AU$10&gt;$U$2,"",$G$1)</f>
        <v>│</v>
      </c>
      <c r="AU77" s="21"/>
      <c r="AV77" s="25" t="str">
        <f>IF(AW$10&gt;$U$2,"",$F$1)</f>
        <v>│</v>
      </c>
      <c r="AW77" s="21"/>
      <c r="AX77" s="65" t="str">
        <f>IF(AY$10&gt;$U$2,"",$G$1)</f>
        <v>│</v>
      </c>
      <c r="AY77" s="21"/>
      <c r="AZ77" s="25" t="str">
        <f>IF(BA$10&gt;$U$2,"",$F$1)</f>
        <v>│</v>
      </c>
      <c r="BA77" s="21"/>
      <c r="BB77" s="65" t="str">
        <f>IF(BC$10&gt;$U$2,"",$G$1)</f>
        <v>│</v>
      </c>
      <c r="BC77" s="22"/>
      <c r="BD77" s="71"/>
      <c r="BE77" s="71"/>
      <c r="BF77" s="71"/>
      <c r="BG77" s="71"/>
      <c r="BH77" s="71"/>
      <c r="BI77" s="71"/>
      <c r="BJ77" s="71"/>
      <c r="BK77" s="71"/>
      <c r="BL77" s="71"/>
      <c r="BM77" s="71"/>
      <c r="BN77" s="71"/>
      <c r="BO77" s="71"/>
      <c r="BP77" s="71"/>
      <c r="BQ77" s="71"/>
      <c r="BR77" s="71"/>
      <c r="BS77" s="71"/>
      <c r="BT77" s="71"/>
      <c r="BU77" s="71"/>
      <c r="BV77" s="71"/>
      <c r="BW77" s="71"/>
      <c r="BX77" s="71"/>
      <c r="BY77" s="71"/>
      <c r="BZ77" s="71"/>
      <c r="CA77" s="71"/>
      <c r="CB77" s="71"/>
      <c r="CC77" s="71"/>
    </row>
    <row r="78" spans="2:81" x14ac:dyDescent="0.2">
      <c r="B78" s="23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>
        <f>+IF(O$10&gt;$U$2,"",M76/$Q$2)</f>
        <v>307.62129791036404</v>
      </c>
      <c r="P78" s="21"/>
      <c r="Q78" s="21"/>
      <c r="R78" s="21"/>
      <c r="S78" s="21">
        <f>+IF(S$10&gt;$U$2,"",Q76/$Q$2)</f>
        <v>307.62129791036404</v>
      </c>
      <c r="T78" s="21"/>
      <c r="U78" s="21"/>
      <c r="V78" s="21"/>
      <c r="W78" s="21">
        <f>+IF(W$10&gt;$U$2,"",U76/$Q$2)</f>
        <v>307.62129791036404</v>
      </c>
      <c r="X78" s="21"/>
      <c r="Y78" s="21"/>
      <c r="Z78" s="21"/>
      <c r="AA78" s="21">
        <f>+IF(AA$10&gt;$U$2,"",Y76/$Q$2)</f>
        <v>307.62129791036404</v>
      </c>
      <c r="AB78" s="21"/>
      <c r="AC78" s="21"/>
      <c r="AD78" s="21"/>
      <c r="AE78" s="21">
        <f>+IF(AE$10&gt;$U$2,"",AC76/$Q$2)</f>
        <v>307.62129791036404</v>
      </c>
      <c r="AF78" s="21"/>
      <c r="AG78" s="21"/>
      <c r="AH78" s="21"/>
      <c r="AI78" s="21">
        <f>+IF(AI$10&gt;$U$2,"",AG76/$Q$2)</f>
        <v>307.62129791036404</v>
      </c>
      <c r="AJ78" s="21"/>
      <c r="AK78" s="21"/>
      <c r="AL78" s="21"/>
      <c r="AM78" s="21">
        <f>+IF(AM$10&gt;$U$2,"",AK76/$Q$2)</f>
        <v>307.62129791036404</v>
      </c>
      <c r="AN78" s="21"/>
      <c r="AO78" s="21"/>
      <c r="AP78" s="21"/>
      <c r="AQ78" s="21">
        <f>+IF(AQ$10&gt;$U$2,"",AO76/$Q$2)</f>
        <v>307.62129791036404</v>
      </c>
      <c r="AR78" s="21"/>
      <c r="AS78" s="21"/>
      <c r="AT78" s="21"/>
      <c r="AU78" s="21">
        <f>+IF(AU$10&gt;$U$2,"",AS76/$Q$2)</f>
        <v>307.62129791036404</v>
      </c>
      <c r="AV78" s="21"/>
      <c r="AW78" s="21"/>
      <c r="AX78" s="21"/>
      <c r="AY78" s="21">
        <f>+IF(AY$10&gt;$U$2,"",AW76/$Q$2)</f>
        <v>307.62129791036404</v>
      </c>
      <c r="AZ78" s="21"/>
      <c r="BA78" s="21"/>
      <c r="BB78" s="21"/>
      <c r="BC78" s="22">
        <f>+IF(BC$10&gt;$U$2,"",BA76/$Q$2)</f>
        <v>307.62129791036404</v>
      </c>
      <c r="BD78" s="71"/>
      <c r="BE78" s="71"/>
      <c r="BF78" s="71"/>
      <c r="BG78" s="71"/>
      <c r="BH78" s="71"/>
      <c r="BI78" s="71"/>
      <c r="BJ78" s="71"/>
      <c r="BK78" s="71"/>
      <c r="BL78" s="71"/>
      <c r="BM78" s="71"/>
      <c r="BN78" s="71"/>
      <c r="BO78" s="71"/>
      <c r="BP78" s="71"/>
      <c r="BQ78" s="71"/>
      <c r="BR78" s="71"/>
      <c r="BS78" s="71"/>
      <c r="BT78" s="71"/>
      <c r="BU78" s="71"/>
      <c r="BV78" s="71"/>
      <c r="BW78" s="71"/>
      <c r="BX78" s="71"/>
      <c r="BY78" s="71"/>
      <c r="BZ78" s="71"/>
      <c r="CA78" s="71"/>
      <c r="CB78" s="71"/>
      <c r="CC78" s="71"/>
    </row>
    <row r="79" spans="2:81" ht="14.25" x14ac:dyDescent="0.2">
      <c r="B79" s="23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65" t="str">
        <f>IF(Q$10&gt;$U$2,"",$G$1)</f>
        <v>│</v>
      </c>
      <c r="Q79" s="21"/>
      <c r="R79" s="25" t="str">
        <f>IF(S$10&gt;$U$2,"",$F$1)</f>
        <v>│</v>
      </c>
      <c r="S79" s="21"/>
      <c r="T79" s="65" t="str">
        <f>IF(U$10&gt;$U$2,"",$G$1)</f>
        <v>│</v>
      </c>
      <c r="U79" s="21"/>
      <c r="V79" s="25" t="str">
        <f>IF(W$10&gt;$U$2,"",$F$1)</f>
        <v>│</v>
      </c>
      <c r="W79" s="21"/>
      <c r="X79" s="65" t="str">
        <f>IF(Y$10&gt;$U$2,"",$G$1)</f>
        <v>│</v>
      </c>
      <c r="Y79" s="21"/>
      <c r="Z79" s="25" t="str">
        <f>IF(AA$10&gt;$U$2,"",$F$1)</f>
        <v>│</v>
      </c>
      <c r="AA79" s="21"/>
      <c r="AB79" s="65" t="str">
        <f>IF(AC$10&gt;$U$2,"",$G$1)</f>
        <v>│</v>
      </c>
      <c r="AC79" s="21"/>
      <c r="AD79" s="25" t="str">
        <f>IF(AE$10&gt;$U$2,"",$F$1)</f>
        <v>│</v>
      </c>
      <c r="AE79" s="21"/>
      <c r="AF79" s="65" t="str">
        <f>IF(AG$10&gt;$U$2,"",$G$1)</f>
        <v>│</v>
      </c>
      <c r="AG79" s="21"/>
      <c r="AH79" s="25" t="str">
        <f>IF(AI$10&gt;$U$2,"",$F$1)</f>
        <v>│</v>
      </c>
      <c r="AI79" s="21"/>
      <c r="AJ79" s="65" t="str">
        <f>IF(AK$10&gt;$U$2,"",$G$1)</f>
        <v>│</v>
      </c>
      <c r="AK79" s="21"/>
      <c r="AL79" s="25" t="str">
        <f>IF(AM$10&gt;$U$2,"",$F$1)</f>
        <v>│</v>
      </c>
      <c r="AM79" s="21"/>
      <c r="AN79" s="65" t="str">
        <f>IF(AO$10&gt;$U$2,"",$G$1)</f>
        <v>│</v>
      </c>
      <c r="AO79" s="21"/>
      <c r="AP79" s="25" t="str">
        <f>IF(AQ$10&gt;$U$2,"",$F$1)</f>
        <v>│</v>
      </c>
      <c r="AQ79" s="21"/>
      <c r="AR79" s="65" t="str">
        <f>IF(AS$10&gt;$U$2,"",$G$1)</f>
        <v>│</v>
      </c>
      <c r="AS79" s="21"/>
      <c r="AT79" s="25" t="str">
        <f>IF(AU$10&gt;$U$2,"",$F$1)</f>
        <v>│</v>
      </c>
      <c r="AU79" s="21"/>
      <c r="AV79" s="65" t="str">
        <f>IF(AW$10&gt;$U$2,"",$G$1)</f>
        <v>│</v>
      </c>
      <c r="AW79" s="21"/>
      <c r="AX79" s="25" t="str">
        <f>IF(AY$10&gt;$U$2,"",$F$1)</f>
        <v>│</v>
      </c>
      <c r="AY79" s="21"/>
      <c r="AZ79" s="65" t="str">
        <f>IF(BA$10&gt;$U$2,"",$G$1)</f>
        <v>│</v>
      </c>
      <c r="BA79" s="21"/>
      <c r="BB79" s="25" t="str">
        <f>IF(BC$10&gt;$U$2,"",$F$1)</f>
        <v>│</v>
      </c>
      <c r="BC79" s="22"/>
      <c r="BD79" s="71"/>
      <c r="BE79" s="71"/>
      <c r="BF79" s="71"/>
      <c r="BG79" s="71"/>
      <c r="BH79" s="71"/>
      <c r="BI79" s="71"/>
      <c r="BJ79" s="71"/>
      <c r="BK79" s="71"/>
      <c r="BL79" s="71"/>
      <c r="BM79" s="71"/>
      <c r="BN79" s="71"/>
      <c r="BO79" s="71"/>
      <c r="BP79" s="71"/>
      <c r="BQ79" s="71"/>
      <c r="BR79" s="71"/>
      <c r="BS79" s="71"/>
      <c r="BT79" s="71"/>
      <c r="BU79" s="71"/>
      <c r="BV79" s="71"/>
      <c r="BW79" s="71"/>
      <c r="BX79" s="71"/>
      <c r="BY79" s="71"/>
      <c r="BZ79" s="71"/>
      <c r="CA79" s="71"/>
      <c r="CB79" s="71"/>
      <c r="CC79" s="71"/>
    </row>
    <row r="80" spans="2:81" x14ac:dyDescent="0.2">
      <c r="B80" s="23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>
        <f>+IF(Q$10&gt;$U$2,"",O78/$Q$2)</f>
        <v>294.44835677989835</v>
      </c>
      <c r="R80" s="21"/>
      <c r="S80" s="21"/>
      <c r="T80" s="21"/>
      <c r="U80" s="21">
        <f>+IF(U$10&gt;$U$2,"",S78/$Q$2)</f>
        <v>294.44835677989835</v>
      </c>
      <c r="V80" s="21"/>
      <c r="W80" s="21"/>
      <c r="X80" s="21"/>
      <c r="Y80" s="21">
        <f>+IF(Y$10&gt;$U$2,"",W78/$Q$2)</f>
        <v>294.44835677989835</v>
      </c>
      <c r="Z80" s="21"/>
      <c r="AA80" s="21"/>
      <c r="AB80" s="21"/>
      <c r="AC80" s="21">
        <f>+IF(AC$10&gt;$U$2,"",AA78/$Q$2)</f>
        <v>294.44835677989835</v>
      </c>
      <c r="AD80" s="21"/>
      <c r="AE80" s="21"/>
      <c r="AF80" s="21"/>
      <c r="AG80" s="21">
        <f>+IF(AG$10&gt;$U$2,"",AE78/$Q$2)</f>
        <v>294.44835677989835</v>
      </c>
      <c r="AH80" s="21"/>
      <c r="AI80" s="21"/>
      <c r="AJ80" s="21"/>
      <c r="AK80" s="21">
        <f>+IF(AK$10&gt;$U$2,"",AI78/$Q$2)</f>
        <v>294.44835677989835</v>
      </c>
      <c r="AL80" s="21"/>
      <c r="AM80" s="21"/>
      <c r="AN80" s="21"/>
      <c r="AO80" s="21">
        <f>+IF(AO$10&gt;$U$2,"",AM78/$Q$2)</f>
        <v>294.44835677989835</v>
      </c>
      <c r="AP80" s="21"/>
      <c r="AQ80" s="21"/>
      <c r="AR80" s="21"/>
      <c r="AS80" s="21">
        <f>+IF(AS$10&gt;$U$2,"",AQ78/$Q$2)</f>
        <v>294.44835677989835</v>
      </c>
      <c r="AT80" s="21"/>
      <c r="AU80" s="21"/>
      <c r="AV80" s="21"/>
      <c r="AW80" s="21">
        <f>+IF(AW$10&gt;$U$2,"",AU78/$Q$2)</f>
        <v>294.44835677989835</v>
      </c>
      <c r="AX80" s="21"/>
      <c r="AY80" s="21"/>
      <c r="AZ80" s="21"/>
      <c r="BA80" s="21">
        <f>+IF(BA$10&gt;$U$2,"",AY78/$Q$2)</f>
        <v>294.44835677989835</v>
      </c>
      <c r="BB80" s="21"/>
      <c r="BC80" s="22"/>
      <c r="BD80" s="71"/>
      <c r="BE80" s="71"/>
      <c r="BF80" s="71"/>
      <c r="BG80" s="71"/>
      <c r="BH80" s="71"/>
      <c r="BI80" s="71"/>
      <c r="BJ80" s="71"/>
      <c r="BK80" s="71"/>
      <c r="BL80" s="71"/>
      <c r="BM80" s="71"/>
      <c r="BN80" s="71"/>
      <c r="BO80" s="71"/>
      <c r="BP80" s="71"/>
      <c r="BQ80" s="71"/>
      <c r="BR80" s="71"/>
      <c r="BS80" s="71"/>
      <c r="BT80" s="71"/>
      <c r="BU80" s="71"/>
      <c r="BV80" s="71"/>
      <c r="BW80" s="71"/>
      <c r="BX80" s="71"/>
      <c r="BY80" s="71"/>
      <c r="BZ80" s="71"/>
      <c r="CA80" s="71"/>
      <c r="CB80" s="71"/>
      <c r="CC80" s="71"/>
    </row>
    <row r="81" spans="2:81" ht="14.25" x14ac:dyDescent="0.2">
      <c r="B81" s="23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65" t="str">
        <f>IF(S$10&gt;$U$2,"",$G$1)</f>
        <v>│</v>
      </c>
      <c r="S81" s="21"/>
      <c r="T81" s="25" t="str">
        <f>IF(U$10&gt;$U$2,"",$F$1)</f>
        <v>│</v>
      </c>
      <c r="U81" s="21"/>
      <c r="V81" s="65" t="str">
        <f>IF(W$10&gt;$U$2,"",$G$1)</f>
        <v>│</v>
      </c>
      <c r="W81" s="21"/>
      <c r="X81" s="25" t="str">
        <f>IF(Y$10&gt;$U$2,"",$F$1)</f>
        <v>│</v>
      </c>
      <c r="Y81" s="21"/>
      <c r="Z81" s="65" t="str">
        <f>IF(AA$10&gt;$U$2,"",$G$1)</f>
        <v>│</v>
      </c>
      <c r="AA81" s="21"/>
      <c r="AB81" s="25" t="str">
        <f>IF(AC$10&gt;$U$2,"",$F$1)</f>
        <v>│</v>
      </c>
      <c r="AC81" s="21"/>
      <c r="AD81" s="65" t="str">
        <f>IF(AE$10&gt;$U$2,"",$G$1)</f>
        <v>│</v>
      </c>
      <c r="AE81" s="21"/>
      <c r="AF81" s="25" t="str">
        <f>IF(AG$10&gt;$U$2,"",$F$1)</f>
        <v>│</v>
      </c>
      <c r="AG81" s="21"/>
      <c r="AH81" s="65" t="str">
        <f>IF(AI$10&gt;$U$2,"",$G$1)</f>
        <v>│</v>
      </c>
      <c r="AI81" s="21"/>
      <c r="AJ81" s="25" t="str">
        <f>IF(AK$10&gt;$U$2,"",$F$1)</f>
        <v>│</v>
      </c>
      <c r="AK81" s="21"/>
      <c r="AL81" s="65" t="str">
        <f>IF(AM$10&gt;$U$2,"",$G$1)</f>
        <v>│</v>
      </c>
      <c r="AM81" s="21"/>
      <c r="AN81" s="25" t="str">
        <f>IF(AO$10&gt;$U$2,"",$F$1)</f>
        <v>│</v>
      </c>
      <c r="AO81" s="21"/>
      <c r="AP81" s="65" t="str">
        <f>IF(AQ$10&gt;$U$2,"",$G$1)</f>
        <v>│</v>
      </c>
      <c r="AQ81" s="21"/>
      <c r="AR81" s="25" t="str">
        <f>IF(AS$10&gt;$U$2,"",$F$1)</f>
        <v>│</v>
      </c>
      <c r="AS81" s="21"/>
      <c r="AT81" s="65" t="str">
        <f>IF(AU$10&gt;$U$2,"",$G$1)</f>
        <v>│</v>
      </c>
      <c r="AU81" s="21"/>
      <c r="AV81" s="25" t="str">
        <f>IF(AW$10&gt;$U$2,"",$F$1)</f>
        <v>│</v>
      </c>
      <c r="AW81" s="21"/>
      <c r="AX81" s="65" t="str">
        <f>IF(AY$10&gt;$U$2,"",$G$1)</f>
        <v>│</v>
      </c>
      <c r="AY81" s="21"/>
      <c r="AZ81" s="25" t="str">
        <f>IF(BA$10&gt;$U$2,"",$F$1)</f>
        <v>│</v>
      </c>
      <c r="BA81" s="21"/>
      <c r="BB81" s="65" t="str">
        <f>IF(BC$10&gt;$U$2,"",$G$1)</f>
        <v>│</v>
      </c>
      <c r="BC81" s="22"/>
      <c r="BD81" s="71"/>
      <c r="BE81" s="71"/>
      <c r="BF81" s="71"/>
      <c r="BG81" s="71"/>
      <c r="BH81" s="71"/>
      <c r="BI81" s="71"/>
      <c r="BJ81" s="71"/>
      <c r="BK81" s="71"/>
      <c r="BL81" s="71"/>
      <c r="BM81" s="71"/>
      <c r="BN81" s="71"/>
      <c r="BO81" s="71"/>
      <c r="BP81" s="71"/>
      <c r="BQ81" s="71"/>
      <c r="BR81" s="71"/>
      <c r="BS81" s="71"/>
      <c r="BT81" s="71"/>
      <c r="BU81" s="71"/>
      <c r="BV81" s="71"/>
      <c r="BW81" s="71"/>
      <c r="BX81" s="71"/>
      <c r="BY81" s="71"/>
      <c r="BZ81" s="71"/>
      <c r="CA81" s="71"/>
      <c r="CB81" s="71"/>
      <c r="CC81" s="71"/>
    </row>
    <row r="82" spans="2:81" x14ac:dyDescent="0.2">
      <c r="B82" s="23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>
        <f>+IF(S$10&gt;$U$2,"",Q80/$Q$2)</f>
        <v>281.83950655993027</v>
      </c>
      <c r="T82" s="21"/>
      <c r="U82" s="21"/>
      <c r="V82" s="21"/>
      <c r="W82" s="21">
        <f>+IF(W$10&gt;$U$2,"",U80/$Q$2)</f>
        <v>281.83950655993027</v>
      </c>
      <c r="X82" s="21"/>
      <c r="Y82" s="21"/>
      <c r="Z82" s="21"/>
      <c r="AA82" s="21">
        <f>+IF(AA$10&gt;$U$2,"",Y80/$Q$2)</f>
        <v>281.83950655993027</v>
      </c>
      <c r="AB82" s="21"/>
      <c r="AC82" s="21"/>
      <c r="AD82" s="21"/>
      <c r="AE82" s="21">
        <f>+IF(AE$10&gt;$U$2,"",AC80/$Q$2)</f>
        <v>281.83950655993027</v>
      </c>
      <c r="AF82" s="21"/>
      <c r="AG82" s="21"/>
      <c r="AH82" s="21"/>
      <c r="AI82" s="21">
        <f>+IF(AI$10&gt;$U$2,"",AG80/$Q$2)</f>
        <v>281.83950655993027</v>
      </c>
      <c r="AJ82" s="21"/>
      <c r="AK82" s="21"/>
      <c r="AL82" s="21"/>
      <c r="AM82" s="21">
        <f>+IF(AM$10&gt;$U$2,"",AK80/$Q$2)</f>
        <v>281.83950655993027</v>
      </c>
      <c r="AN82" s="21"/>
      <c r="AO82" s="21"/>
      <c r="AP82" s="21"/>
      <c r="AQ82" s="21">
        <f>+IF(AQ$10&gt;$U$2,"",AO80/$Q$2)</f>
        <v>281.83950655993027</v>
      </c>
      <c r="AR82" s="21"/>
      <c r="AS82" s="21"/>
      <c r="AT82" s="21"/>
      <c r="AU82" s="21">
        <f>+IF(AU$10&gt;$U$2,"",AS80/$Q$2)</f>
        <v>281.83950655993027</v>
      </c>
      <c r="AV82" s="21"/>
      <c r="AW82" s="21"/>
      <c r="AX82" s="21"/>
      <c r="AY82" s="21">
        <f>+IF(AY$10&gt;$U$2,"",AW80/$Q$2)</f>
        <v>281.83950655993027</v>
      </c>
      <c r="AZ82" s="21"/>
      <c r="BA82" s="21"/>
      <c r="BB82" s="21"/>
      <c r="BC82" s="22">
        <f>+IF(BC$10&gt;$U$2,"",BA80/$Q$2)</f>
        <v>281.83950655993027</v>
      </c>
      <c r="BD82" s="71"/>
      <c r="BE82" s="71"/>
      <c r="BF82" s="71"/>
      <c r="BG82" s="71"/>
      <c r="BH82" s="71"/>
      <c r="BI82" s="71"/>
      <c r="BJ82" s="71"/>
      <c r="BK82" s="71"/>
      <c r="BL82" s="71"/>
      <c r="BM82" s="71"/>
      <c r="BN82" s="71"/>
      <c r="BO82" s="71"/>
      <c r="BP82" s="71"/>
      <c r="BQ82" s="71"/>
      <c r="BR82" s="71"/>
      <c r="BS82" s="71"/>
      <c r="BT82" s="71"/>
      <c r="BU82" s="71"/>
      <c r="BV82" s="71"/>
      <c r="BW82" s="71"/>
      <c r="BX82" s="71"/>
      <c r="BY82" s="71"/>
      <c r="BZ82" s="71"/>
      <c r="CA82" s="71"/>
      <c r="CB82" s="71"/>
      <c r="CC82" s="71"/>
    </row>
    <row r="83" spans="2:81" ht="14.25" x14ac:dyDescent="0.2">
      <c r="B83" s="23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65" t="str">
        <f>IF(U$10&gt;$U$2,"",$G$1)</f>
        <v>│</v>
      </c>
      <c r="U83" s="21"/>
      <c r="V83" s="25" t="str">
        <f>IF(W$10&gt;$U$2,"",$F$1)</f>
        <v>│</v>
      </c>
      <c r="W83" s="21"/>
      <c r="X83" s="65" t="str">
        <f>IF(Y$10&gt;$U$2,"",$G$1)</f>
        <v>│</v>
      </c>
      <c r="Y83" s="21"/>
      <c r="Z83" s="25" t="str">
        <f>IF(AA$10&gt;$U$2,"",$F$1)</f>
        <v>│</v>
      </c>
      <c r="AA83" s="21"/>
      <c r="AB83" s="65" t="str">
        <f>IF(AC$10&gt;$U$2,"",$G$1)</f>
        <v>│</v>
      </c>
      <c r="AC83" s="21"/>
      <c r="AD83" s="25" t="str">
        <f>IF(AE$10&gt;$U$2,"",$F$1)</f>
        <v>│</v>
      </c>
      <c r="AE83" s="21"/>
      <c r="AF83" s="65" t="str">
        <f>IF(AG$10&gt;$U$2,"",$G$1)</f>
        <v>│</v>
      </c>
      <c r="AG83" s="21"/>
      <c r="AH83" s="25" t="str">
        <f>IF(AI$10&gt;$U$2,"",$F$1)</f>
        <v>│</v>
      </c>
      <c r="AI83" s="21"/>
      <c r="AJ83" s="65" t="str">
        <f>IF(AK$10&gt;$U$2,"",$G$1)</f>
        <v>│</v>
      </c>
      <c r="AK83" s="21"/>
      <c r="AL83" s="25" t="str">
        <f>IF(AM$10&gt;$U$2,"",$F$1)</f>
        <v>│</v>
      </c>
      <c r="AM83" s="21"/>
      <c r="AN83" s="65" t="str">
        <f>IF(AO$10&gt;$U$2,"",$G$1)</f>
        <v>│</v>
      </c>
      <c r="AO83" s="21"/>
      <c r="AP83" s="25" t="str">
        <f>IF(AQ$10&gt;$U$2,"",$F$1)</f>
        <v>│</v>
      </c>
      <c r="AQ83" s="21"/>
      <c r="AR83" s="65" t="str">
        <f>IF(AS$10&gt;$U$2,"",$G$1)</f>
        <v>│</v>
      </c>
      <c r="AS83" s="21"/>
      <c r="AT83" s="25" t="str">
        <f>IF(AU$10&gt;$U$2,"",$F$1)</f>
        <v>│</v>
      </c>
      <c r="AU83" s="21"/>
      <c r="AV83" s="65" t="str">
        <f>IF(AW$10&gt;$U$2,"",$G$1)</f>
        <v>│</v>
      </c>
      <c r="AW83" s="21"/>
      <c r="AX83" s="25" t="str">
        <f>IF(AY$10&gt;$U$2,"",$F$1)</f>
        <v>│</v>
      </c>
      <c r="AY83" s="21"/>
      <c r="AZ83" s="65" t="str">
        <f>IF(BA$10&gt;$U$2,"",$G$1)</f>
        <v>│</v>
      </c>
      <c r="BA83" s="21"/>
      <c r="BB83" s="25" t="str">
        <f>IF(BC$10&gt;$U$2,"",$F$1)</f>
        <v>│</v>
      </c>
      <c r="BC83" s="22"/>
      <c r="BD83" s="71"/>
      <c r="BE83" s="71"/>
      <c r="BF83" s="71"/>
      <c r="BG83" s="71"/>
      <c r="BH83" s="71"/>
      <c r="BI83" s="71"/>
      <c r="BJ83" s="71"/>
      <c r="BK83" s="71"/>
      <c r="BL83" s="71"/>
      <c r="BM83" s="71"/>
      <c r="BN83" s="71"/>
      <c r="BO83" s="71"/>
      <c r="BP83" s="71"/>
      <c r="BQ83" s="71"/>
      <c r="BR83" s="71"/>
      <c r="BS83" s="71"/>
      <c r="BT83" s="71"/>
      <c r="BU83" s="71"/>
      <c r="BV83" s="71"/>
      <c r="BW83" s="71"/>
      <c r="BX83" s="71"/>
      <c r="BY83" s="71"/>
      <c r="BZ83" s="71"/>
      <c r="CA83" s="71"/>
      <c r="CB83" s="71"/>
      <c r="CC83" s="71"/>
    </row>
    <row r="84" spans="2:81" x14ac:dyDescent="0.2">
      <c r="B84" s="23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>
        <f>+IF(U$10&gt;$U$2,"",S82/$Q$2)</f>
        <v>269.77059178266001</v>
      </c>
      <c r="V84" s="21"/>
      <c r="W84" s="21"/>
      <c r="X84" s="21"/>
      <c r="Y84" s="21">
        <f>+IF(Y$10&gt;$U$2,"",W82/$Q$2)</f>
        <v>269.77059178266001</v>
      </c>
      <c r="Z84" s="21"/>
      <c r="AA84" s="21"/>
      <c r="AB84" s="21"/>
      <c r="AC84" s="21">
        <f>+IF(AC$10&gt;$U$2,"",AA82/$Q$2)</f>
        <v>269.77059178266001</v>
      </c>
      <c r="AD84" s="21"/>
      <c r="AE84" s="21"/>
      <c r="AF84" s="21"/>
      <c r="AG84" s="21">
        <f>+IF(AG$10&gt;$U$2,"",AE82/$Q$2)</f>
        <v>269.77059178266001</v>
      </c>
      <c r="AH84" s="21"/>
      <c r="AI84" s="21"/>
      <c r="AJ84" s="21"/>
      <c r="AK84" s="21">
        <f>+IF(AK$10&gt;$U$2,"",AI82/$Q$2)</f>
        <v>269.77059178266001</v>
      </c>
      <c r="AL84" s="21"/>
      <c r="AM84" s="21"/>
      <c r="AN84" s="21"/>
      <c r="AO84" s="21">
        <f>+IF(AO$10&gt;$U$2,"",AM82/$Q$2)</f>
        <v>269.77059178266001</v>
      </c>
      <c r="AP84" s="21"/>
      <c r="AQ84" s="21"/>
      <c r="AR84" s="21"/>
      <c r="AS84" s="21">
        <f>+IF(AS$10&gt;$U$2,"",AQ82/$Q$2)</f>
        <v>269.77059178266001</v>
      </c>
      <c r="AT84" s="21"/>
      <c r="AU84" s="21"/>
      <c r="AV84" s="21"/>
      <c r="AW84" s="21">
        <f>+IF(AW$10&gt;$U$2,"",AU82/$Q$2)</f>
        <v>269.77059178266001</v>
      </c>
      <c r="AX84" s="21"/>
      <c r="AY84" s="21"/>
      <c r="AZ84" s="21"/>
      <c r="BA84" s="21">
        <f>+IF(BA$10&gt;$U$2,"",AY82/$Q$2)</f>
        <v>269.77059178266001</v>
      </c>
      <c r="BB84" s="21"/>
      <c r="BC84" s="22"/>
      <c r="BD84" s="71"/>
      <c r="BE84" s="71"/>
      <c r="BF84" s="71"/>
      <c r="BG84" s="71"/>
      <c r="BH84" s="71"/>
      <c r="BI84" s="71"/>
      <c r="BJ84" s="71"/>
      <c r="BK84" s="71"/>
      <c r="BL84" s="71"/>
      <c r="BM84" s="71"/>
      <c r="BN84" s="71"/>
      <c r="BO84" s="71"/>
      <c r="BP84" s="71"/>
      <c r="BQ84" s="71"/>
      <c r="BR84" s="71"/>
      <c r="BS84" s="71"/>
      <c r="BT84" s="71"/>
      <c r="BU84" s="71"/>
      <c r="BV84" s="71"/>
      <c r="BW84" s="71"/>
      <c r="BX84" s="71"/>
      <c r="BY84" s="71"/>
      <c r="BZ84" s="71"/>
      <c r="CA84" s="71"/>
      <c r="CB84" s="71"/>
      <c r="CC84" s="71"/>
    </row>
    <row r="85" spans="2:81" ht="14.25" x14ac:dyDescent="0.2">
      <c r="B85" s="23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65" t="str">
        <f>IF(W$10&gt;$U$2,"",$G$1)</f>
        <v>│</v>
      </c>
      <c r="W85" s="21"/>
      <c r="X85" s="25" t="str">
        <f>IF(Y$10&gt;$U$2,"",$F$1)</f>
        <v>│</v>
      </c>
      <c r="Y85" s="21"/>
      <c r="Z85" s="65" t="str">
        <f>IF(AA$10&gt;$U$2,"",$G$1)</f>
        <v>│</v>
      </c>
      <c r="AA85" s="21"/>
      <c r="AB85" s="25" t="str">
        <f>IF(AC$10&gt;$U$2,"",$F$1)</f>
        <v>│</v>
      </c>
      <c r="AC85" s="21"/>
      <c r="AD85" s="65" t="str">
        <f>IF(AE$10&gt;$U$2,"",$G$1)</f>
        <v>│</v>
      </c>
      <c r="AE85" s="21"/>
      <c r="AF85" s="25" t="str">
        <f>IF(AG$10&gt;$U$2,"",$F$1)</f>
        <v>│</v>
      </c>
      <c r="AG85" s="21"/>
      <c r="AH85" s="65" t="str">
        <f>IF(AI$10&gt;$U$2,"",$G$1)</f>
        <v>│</v>
      </c>
      <c r="AI85" s="21"/>
      <c r="AJ85" s="25" t="str">
        <f>IF(AK$10&gt;$U$2,"",$F$1)</f>
        <v>│</v>
      </c>
      <c r="AK85" s="21"/>
      <c r="AL85" s="65" t="str">
        <f>IF(AM$10&gt;$U$2,"",$G$1)</f>
        <v>│</v>
      </c>
      <c r="AM85" s="21"/>
      <c r="AN85" s="25" t="str">
        <f>IF(AO$10&gt;$U$2,"",$F$1)</f>
        <v>│</v>
      </c>
      <c r="AO85" s="21"/>
      <c r="AP85" s="65" t="str">
        <f>IF(AQ$10&gt;$U$2,"",$G$1)</f>
        <v>│</v>
      </c>
      <c r="AQ85" s="21"/>
      <c r="AR85" s="25" t="str">
        <f>IF(AS$10&gt;$U$2,"",$F$1)</f>
        <v>│</v>
      </c>
      <c r="AS85" s="21"/>
      <c r="AT85" s="65" t="str">
        <f>IF(AU$10&gt;$U$2,"",$G$1)</f>
        <v>│</v>
      </c>
      <c r="AU85" s="21"/>
      <c r="AV85" s="25" t="str">
        <f>IF(AW$10&gt;$U$2,"",$F$1)</f>
        <v>│</v>
      </c>
      <c r="AW85" s="21"/>
      <c r="AX85" s="65" t="str">
        <f>IF(AY$10&gt;$U$2,"",$G$1)</f>
        <v>│</v>
      </c>
      <c r="AY85" s="21"/>
      <c r="AZ85" s="25" t="str">
        <f>IF(BA$10&gt;$U$2,"",$F$1)</f>
        <v>│</v>
      </c>
      <c r="BA85" s="21"/>
      <c r="BB85" s="65" t="str">
        <f>IF(BC$10&gt;$U$2,"",$G$1)</f>
        <v>│</v>
      </c>
      <c r="BC85" s="22"/>
      <c r="BD85" s="71"/>
      <c r="BE85" s="71"/>
      <c r="BF85" s="71"/>
      <c r="BG85" s="71"/>
      <c r="BH85" s="71"/>
      <c r="BI85" s="71"/>
      <c r="BJ85" s="71"/>
      <c r="BK85" s="71"/>
      <c r="BL85" s="71"/>
      <c r="BM85" s="71"/>
      <c r="BN85" s="71"/>
      <c r="BO85" s="71"/>
      <c r="BP85" s="71"/>
      <c r="BQ85" s="71"/>
      <c r="BR85" s="71"/>
      <c r="BS85" s="71"/>
      <c r="BT85" s="71"/>
      <c r="BU85" s="71"/>
      <c r="BV85" s="71"/>
      <c r="BW85" s="71"/>
      <c r="BX85" s="71"/>
      <c r="BY85" s="71"/>
      <c r="BZ85" s="71"/>
      <c r="CA85" s="71"/>
      <c r="CB85" s="71"/>
      <c r="CC85" s="71"/>
    </row>
    <row r="86" spans="2:81" x14ac:dyDescent="0.2">
      <c r="B86" s="23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>
        <f>+IF(W$10&gt;$U$2,"",U84/$Q$2)</f>
        <v>258.21849136430939</v>
      </c>
      <c r="X86" s="21"/>
      <c r="Y86" s="21"/>
      <c r="Z86" s="21"/>
      <c r="AA86" s="21">
        <f>+IF(AA$10&gt;$U$2,"",Y84/$Q$2)</f>
        <v>258.21849136430939</v>
      </c>
      <c r="AB86" s="21"/>
      <c r="AC86" s="21"/>
      <c r="AD86" s="21"/>
      <c r="AE86" s="21">
        <f>+IF(AE$10&gt;$U$2,"",AC84/$Q$2)</f>
        <v>258.21849136430939</v>
      </c>
      <c r="AF86" s="21"/>
      <c r="AG86" s="21"/>
      <c r="AH86" s="21"/>
      <c r="AI86" s="21">
        <f>+IF(AI$10&gt;$U$2,"",AG84/$Q$2)</f>
        <v>258.21849136430939</v>
      </c>
      <c r="AJ86" s="21"/>
      <c r="AK86" s="21"/>
      <c r="AL86" s="21"/>
      <c r="AM86" s="21">
        <f>+IF(AM$10&gt;$U$2,"",AK84/$Q$2)</f>
        <v>258.21849136430939</v>
      </c>
      <c r="AN86" s="21"/>
      <c r="AO86" s="21"/>
      <c r="AP86" s="21"/>
      <c r="AQ86" s="21">
        <f>+IF(AQ$10&gt;$U$2,"",AO84/$Q$2)</f>
        <v>258.21849136430939</v>
      </c>
      <c r="AR86" s="21"/>
      <c r="AS86" s="21"/>
      <c r="AT86" s="21"/>
      <c r="AU86" s="21">
        <f>+IF(AU$10&gt;$U$2,"",AS84/$Q$2)</f>
        <v>258.21849136430939</v>
      </c>
      <c r="AV86" s="21"/>
      <c r="AW86" s="21"/>
      <c r="AX86" s="21"/>
      <c r="AY86" s="21">
        <f>+IF(AY$10&gt;$U$2,"",AW84/$Q$2)</f>
        <v>258.21849136430939</v>
      </c>
      <c r="AZ86" s="21"/>
      <c r="BA86" s="21"/>
      <c r="BB86" s="21"/>
      <c r="BC86" s="22">
        <f>+IF(BC$10&gt;$U$2,"",BA84/$Q$2)</f>
        <v>258.21849136430939</v>
      </c>
      <c r="BD86" s="71"/>
      <c r="BE86" s="71"/>
      <c r="BF86" s="71"/>
      <c r="BG86" s="71"/>
      <c r="BH86" s="71"/>
      <c r="BI86" s="71"/>
      <c r="BJ86" s="71"/>
      <c r="BK86" s="71"/>
      <c r="BL86" s="71"/>
      <c r="BM86" s="71"/>
      <c r="BN86" s="71"/>
      <c r="BO86" s="71"/>
      <c r="BP86" s="71"/>
      <c r="BQ86" s="71"/>
      <c r="BR86" s="71"/>
      <c r="BS86" s="71"/>
      <c r="BT86" s="71"/>
      <c r="BU86" s="71"/>
      <c r="BV86" s="71"/>
      <c r="BW86" s="71"/>
      <c r="BX86" s="71"/>
      <c r="BY86" s="71"/>
      <c r="BZ86" s="71"/>
      <c r="CA86" s="71"/>
      <c r="CB86" s="71"/>
      <c r="CC86" s="71"/>
    </row>
    <row r="87" spans="2:81" ht="14.25" x14ac:dyDescent="0.2">
      <c r="B87" s="23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65" t="str">
        <f>IF(Y$10&gt;$U$2,"",$G$1)</f>
        <v>│</v>
      </c>
      <c r="Y87" s="21"/>
      <c r="Z87" s="25" t="str">
        <f>IF(AA$10&gt;$U$2,"",$F$1)</f>
        <v>│</v>
      </c>
      <c r="AA87" s="21"/>
      <c r="AB87" s="65" t="str">
        <f>IF(AC$10&gt;$U$2,"",$G$1)</f>
        <v>│</v>
      </c>
      <c r="AC87" s="21"/>
      <c r="AD87" s="25" t="str">
        <f>IF(AE$10&gt;$U$2,"",$F$1)</f>
        <v>│</v>
      </c>
      <c r="AE87" s="21"/>
      <c r="AF87" s="65" t="str">
        <f>IF(AG$10&gt;$U$2,"",$G$1)</f>
        <v>│</v>
      </c>
      <c r="AG87" s="21"/>
      <c r="AH87" s="25" t="str">
        <f>IF(AI$10&gt;$U$2,"",$F$1)</f>
        <v>│</v>
      </c>
      <c r="AI87" s="21"/>
      <c r="AJ87" s="65" t="str">
        <f>IF(AK$10&gt;$U$2,"",$G$1)</f>
        <v>│</v>
      </c>
      <c r="AK87" s="21"/>
      <c r="AL87" s="25" t="str">
        <f>IF(AM$10&gt;$U$2,"",$F$1)</f>
        <v>│</v>
      </c>
      <c r="AM87" s="21"/>
      <c r="AN87" s="65" t="str">
        <f>IF(AO$10&gt;$U$2,"",$G$1)</f>
        <v>│</v>
      </c>
      <c r="AO87" s="21"/>
      <c r="AP87" s="25" t="str">
        <f>IF(AQ$10&gt;$U$2,"",$F$1)</f>
        <v>│</v>
      </c>
      <c r="AQ87" s="21"/>
      <c r="AR87" s="65" t="str">
        <f>IF(AS$10&gt;$U$2,"",$G$1)</f>
        <v>│</v>
      </c>
      <c r="AS87" s="21"/>
      <c r="AT87" s="25" t="str">
        <f>IF(AU$10&gt;$U$2,"",$F$1)</f>
        <v>│</v>
      </c>
      <c r="AU87" s="21"/>
      <c r="AV87" s="65" t="str">
        <f>IF(AW$10&gt;$U$2,"",$G$1)</f>
        <v>│</v>
      </c>
      <c r="AW87" s="21"/>
      <c r="AX87" s="25" t="str">
        <f>IF(AY$10&gt;$U$2,"",$F$1)</f>
        <v>│</v>
      </c>
      <c r="AY87" s="21"/>
      <c r="AZ87" s="65" t="str">
        <f>IF(BA$10&gt;$U$2,"",$G$1)</f>
        <v>│</v>
      </c>
      <c r="BA87" s="21"/>
      <c r="BB87" s="25" t="str">
        <f>IF(BC$10&gt;$U$2,"",$F$1)</f>
        <v>│</v>
      </c>
      <c r="BC87" s="22"/>
      <c r="BD87" s="71"/>
      <c r="BE87" s="71"/>
      <c r="BF87" s="71"/>
      <c r="BG87" s="71"/>
      <c r="BH87" s="71"/>
      <c r="BI87" s="71"/>
      <c r="BJ87" s="71"/>
      <c r="BK87" s="71"/>
      <c r="BL87" s="71"/>
      <c r="BM87" s="71"/>
      <c r="BN87" s="71"/>
      <c r="BO87" s="71"/>
      <c r="BP87" s="71"/>
      <c r="BQ87" s="71"/>
      <c r="BR87" s="71"/>
      <c r="BS87" s="71"/>
      <c r="BT87" s="71"/>
      <c r="BU87" s="71"/>
      <c r="BV87" s="71"/>
      <c r="BW87" s="71"/>
      <c r="BX87" s="71"/>
      <c r="BY87" s="71"/>
      <c r="BZ87" s="71"/>
      <c r="CA87" s="71"/>
      <c r="CB87" s="71"/>
      <c r="CC87" s="71"/>
    </row>
    <row r="88" spans="2:81" x14ac:dyDescent="0.2">
      <c r="B88" s="23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>
        <f>+IF(Y$10&gt;$U$2,"",W86/$Q$2)</f>
        <v>247.16107431079038</v>
      </c>
      <c r="Z88" s="21"/>
      <c r="AA88" s="21"/>
      <c r="AB88" s="21"/>
      <c r="AC88" s="21">
        <f>+IF(AC$10&gt;$U$2,"",AA86/$Q$2)</f>
        <v>247.16107431079038</v>
      </c>
      <c r="AD88" s="21"/>
      <c r="AE88" s="21"/>
      <c r="AF88" s="21"/>
      <c r="AG88" s="21">
        <f>+IF(AG$10&gt;$U$2,"",AE86/$Q$2)</f>
        <v>247.16107431079038</v>
      </c>
      <c r="AH88" s="21"/>
      <c r="AI88" s="21"/>
      <c r="AJ88" s="21"/>
      <c r="AK88" s="21">
        <f>+IF(AK$10&gt;$U$2,"",AI86/$Q$2)</f>
        <v>247.16107431079038</v>
      </c>
      <c r="AL88" s="21"/>
      <c r="AM88" s="21"/>
      <c r="AN88" s="21"/>
      <c r="AO88" s="21">
        <f>+IF(AO$10&gt;$U$2,"",AM86/$Q$2)</f>
        <v>247.16107431079038</v>
      </c>
      <c r="AP88" s="21"/>
      <c r="AQ88" s="21"/>
      <c r="AR88" s="21"/>
      <c r="AS88" s="21">
        <f>+IF(AS$10&gt;$U$2,"",AQ86/$Q$2)</f>
        <v>247.16107431079038</v>
      </c>
      <c r="AT88" s="21"/>
      <c r="AU88" s="21"/>
      <c r="AV88" s="21"/>
      <c r="AW88" s="21">
        <f>+IF(AW$10&gt;$U$2,"",AU86/$Q$2)</f>
        <v>247.16107431079038</v>
      </c>
      <c r="AX88" s="21"/>
      <c r="AY88" s="21"/>
      <c r="AZ88" s="21"/>
      <c r="BA88" s="21">
        <f>+IF(BA$10&gt;$U$2,"",AY86/$Q$2)</f>
        <v>247.16107431079038</v>
      </c>
      <c r="BB88" s="21"/>
      <c r="BC88" s="22"/>
      <c r="BD88" s="71"/>
      <c r="BE88" s="71"/>
      <c r="BF88" s="71"/>
      <c r="BG88" s="71"/>
      <c r="BH88" s="71"/>
      <c r="BI88" s="71"/>
      <c r="BJ88" s="71"/>
      <c r="BK88" s="71"/>
      <c r="BL88" s="71"/>
      <c r="BM88" s="71"/>
      <c r="BN88" s="71"/>
      <c r="BO88" s="71"/>
      <c r="BP88" s="71"/>
      <c r="BQ88" s="71"/>
      <c r="BR88" s="71"/>
      <c r="BS88" s="71"/>
      <c r="BT88" s="71"/>
      <c r="BU88" s="71"/>
      <c r="BV88" s="71"/>
      <c r="BW88" s="71"/>
      <c r="BX88" s="71"/>
      <c r="BY88" s="71"/>
      <c r="BZ88" s="71"/>
      <c r="CA88" s="71"/>
      <c r="CB88" s="71"/>
      <c r="CC88" s="71"/>
    </row>
    <row r="89" spans="2:81" ht="14.25" x14ac:dyDescent="0.2">
      <c r="B89" s="23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65" t="str">
        <f>IF(AA$10&gt;$U$2,"",$G$1)</f>
        <v>│</v>
      </c>
      <c r="AA89" s="21"/>
      <c r="AB89" s="25" t="str">
        <f>IF(AC$10&gt;$U$2,"",$F$1)</f>
        <v>│</v>
      </c>
      <c r="AC89" s="21"/>
      <c r="AD89" s="65" t="str">
        <f>IF(AE$10&gt;$U$2,"",$G$1)</f>
        <v>│</v>
      </c>
      <c r="AE89" s="21"/>
      <c r="AF89" s="25" t="str">
        <f>IF(AG$10&gt;$U$2,"",$F$1)</f>
        <v>│</v>
      </c>
      <c r="AG89" s="21"/>
      <c r="AH89" s="65" t="str">
        <f>IF(AI$10&gt;$U$2,"",$G$1)</f>
        <v>│</v>
      </c>
      <c r="AI89" s="21"/>
      <c r="AJ89" s="25" t="str">
        <f>IF(AK$10&gt;$U$2,"",$F$1)</f>
        <v>│</v>
      </c>
      <c r="AK89" s="21"/>
      <c r="AL89" s="65" t="str">
        <f>IF(AM$10&gt;$U$2,"",$G$1)</f>
        <v>│</v>
      </c>
      <c r="AM89" s="21"/>
      <c r="AN89" s="25" t="str">
        <f>IF(AO$10&gt;$U$2,"",$F$1)</f>
        <v>│</v>
      </c>
      <c r="AO89" s="21"/>
      <c r="AP89" s="65" t="str">
        <f>IF(AQ$10&gt;$U$2,"",$G$1)</f>
        <v>│</v>
      </c>
      <c r="AQ89" s="21"/>
      <c r="AR89" s="25" t="str">
        <f>IF(AS$10&gt;$U$2,"",$F$1)</f>
        <v>│</v>
      </c>
      <c r="AS89" s="21"/>
      <c r="AT89" s="65" t="str">
        <f>IF(AU$10&gt;$U$2,"",$G$1)</f>
        <v>│</v>
      </c>
      <c r="AU89" s="21"/>
      <c r="AV89" s="25" t="str">
        <f>IF(AW$10&gt;$U$2,"",$F$1)</f>
        <v>│</v>
      </c>
      <c r="AW89" s="21"/>
      <c r="AX89" s="65" t="str">
        <f>IF(AY$10&gt;$U$2,"",$G$1)</f>
        <v>│</v>
      </c>
      <c r="AY89" s="21"/>
      <c r="AZ89" s="25" t="str">
        <f>IF(BA$10&gt;$U$2,"",$F$1)</f>
        <v>│</v>
      </c>
      <c r="BA89" s="21"/>
      <c r="BB89" s="65" t="str">
        <f>IF(BC$10&gt;$U$2,"",$G$1)</f>
        <v>│</v>
      </c>
      <c r="BC89" s="22"/>
      <c r="BD89" s="71"/>
      <c r="BE89" s="71"/>
      <c r="BF89" s="71"/>
      <c r="BG89" s="71"/>
      <c r="BH89" s="71"/>
      <c r="BI89" s="71"/>
      <c r="BJ89" s="71"/>
      <c r="BK89" s="71"/>
      <c r="BL89" s="71"/>
      <c r="BM89" s="71"/>
      <c r="BN89" s="71"/>
      <c r="BO89" s="71"/>
      <c r="BP89" s="71"/>
      <c r="BQ89" s="71"/>
      <c r="BR89" s="71"/>
      <c r="BS89" s="71"/>
      <c r="BT89" s="71"/>
      <c r="BU89" s="71"/>
      <c r="BV89" s="71"/>
      <c r="BW89" s="71"/>
      <c r="BX89" s="71"/>
      <c r="BY89" s="71"/>
      <c r="BZ89" s="71"/>
      <c r="CA89" s="71"/>
      <c r="CB89" s="71"/>
      <c r="CC89" s="71"/>
    </row>
    <row r="90" spans="2:81" x14ac:dyDescent="0.2">
      <c r="B90" s="23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>
        <f>+IF(AA$10&gt;$U$2,"",Y88/$Q$2)</f>
        <v>236.57715732014236</v>
      </c>
      <c r="AB90" s="21"/>
      <c r="AC90" s="21"/>
      <c r="AD90" s="21"/>
      <c r="AE90" s="21">
        <f>+IF(AE$10&gt;$U$2,"",AC88/$Q$2)</f>
        <v>236.57715732014236</v>
      </c>
      <c r="AF90" s="21"/>
      <c r="AG90" s="21"/>
      <c r="AH90" s="21"/>
      <c r="AI90" s="21">
        <f>+IF(AI$10&gt;$U$2,"",AG88/$Q$2)</f>
        <v>236.57715732014236</v>
      </c>
      <c r="AJ90" s="21"/>
      <c r="AK90" s="21"/>
      <c r="AL90" s="21"/>
      <c r="AM90" s="21">
        <f>+IF(AM$10&gt;$U$2,"",AK88/$Q$2)</f>
        <v>236.57715732014236</v>
      </c>
      <c r="AN90" s="21"/>
      <c r="AO90" s="21"/>
      <c r="AP90" s="21"/>
      <c r="AQ90" s="21">
        <f>+IF(AQ$10&gt;$U$2,"",AO88/$Q$2)</f>
        <v>236.57715732014236</v>
      </c>
      <c r="AR90" s="21"/>
      <c r="AS90" s="21"/>
      <c r="AT90" s="21"/>
      <c r="AU90" s="21">
        <f>+IF(AU$10&gt;$U$2,"",AS88/$Q$2)</f>
        <v>236.57715732014236</v>
      </c>
      <c r="AV90" s="21"/>
      <c r="AW90" s="21"/>
      <c r="AX90" s="21"/>
      <c r="AY90" s="21">
        <f>+IF(AY$10&gt;$U$2,"",AW88/$Q$2)</f>
        <v>236.57715732014236</v>
      </c>
      <c r="AZ90" s="21"/>
      <c r="BA90" s="21"/>
      <c r="BB90" s="21"/>
      <c r="BC90" s="22">
        <f>+IF(BC$10&gt;$U$2,"",BA88/$Q$2)</f>
        <v>236.57715732014236</v>
      </c>
      <c r="BD90" s="71"/>
      <c r="BE90" s="71"/>
      <c r="BF90" s="71"/>
      <c r="BG90" s="71"/>
      <c r="BH90" s="71"/>
      <c r="BI90" s="71"/>
      <c r="BJ90" s="71"/>
      <c r="BK90" s="71"/>
      <c r="BL90" s="71"/>
      <c r="BM90" s="71"/>
      <c r="BN90" s="71"/>
      <c r="BO90" s="71"/>
      <c r="BP90" s="71"/>
      <c r="BQ90" s="71"/>
      <c r="BR90" s="71"/>
      <c r="BS90" s="71"/>
      <c r="BT90" s="71"/>
      <c r="BU90" s="71"/>
      <c r="BV90" s="71"/>
      <c r="BW90" s="71"/>
      <c r="BX90" s="71"/>
      <c r="BY90" s="71"/>
      <c r="BZ90" s="71"/>
      <c r="CA90" s="71"/>
      <c r="CB90" s="71"/>
      <c r="CC90" s="71"/>
    </row>
    <row r="91" spans="2:81" ht="14.25" x14ac:dyDescent="0.2">
      <c r="B91" s="23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65" t="str">
        <f>IF(AC$10&gt;$U$2,"",$G$1)</f>
        <v>│</v>
      </c>
      <c r="AC91" s="21"/>
      <c r="AD91" s="25" t="str">
        <f>IF(AE$10&gt;$U$2,"",$F$1)</f>
        <v>│</v>
      </c>
      <c r="AE91" s="21"/>
      <c r="AF91" s="65" t="str">
        <f>IF(AG$10&gt;$U$2,"",$G$1)</f>
        <v>│</v>
      </c>
      <c r="AG91" s="21"/>
      <c r="AH91" s="25" t="str">
        <f>IF(AI$10&gt;$U$2,"",$F$1)</f>
        <v>│</v>
      </c>
      <c r="AI91" s="21"/>
      <c r="AJ91" s="65" t="str">
        <f>IF(AK$10&gt;$U$2,"",$G$1)</f>
        <v>│</v>
      </c>
      <c r="AK91" s="21"/>
      <c r="AL91" s="25" t="str">
        <f>IF(AM$10&gt;$U$2,"",$F$1)</f>
        <v>│</v>
      </c>
      <c r="AM91" s="21"/>
      <c r="AN91" s="65" t="str">
        <f>IF(AO$10&gt;$U$2,"",$G$1)</f>
        <v>│</v>
      </c>
      <c r="AO91" s="21"/>
      <c r="AP91" s="25" t="str">
        <f>IF(AQ$10&gt;$U$2,"",$F$1)</f>
        <v>│</v>
      </c>
      <c r="AQ91" s="21"/>
      <c r="AR91" s="65" t="str">
        <f>IF(AS$10&gt;$U$2,"",$G$1)</f>
        <v>│</v>
      </c>
      <c r="AS91" s="21"/>
      <c r="AT91" s="25" t="str">
        <f>IF(AU$10&gt;$U$2,"",$F$1)</f>
        <v>│</v>
      </c>
      <c r="AU91" s="21"/>
      <c r="AV91" s="65" t="str">
        <f>IF(AW$10&gt;$U$2,"",$G$1)</f>
        <v>│</v>
      </c>
      <c r="AW91" s="21"/>
      <c r="AX91" s="25" t="str">
        <f>IF(AY$10&gt;$U$2,"",$F$1)</f>
        <v>│</v>
      </c>
      <c r="AY91" s="21"/>
      <c r="AZ91" s="65" t="str">
        <f>IF(BA$10&gt;$U$2,"",$G$1)</f>
        <v>│</v>
      </c>
      <c r="BA91" s="21"/>
      <c r="BB91" s="25" t="str">
        <f>IF(BC$10&gt;$U$2,"",$F$1)</f>
        <v>│</v>
      </c>
      <c r="BC91" s="22"/>
      <c r="BD91" s="71"/>
      <c r="BE91" s="71"/>
      <c r="BF91" s="71"/>
      <c r="BG91" s="71"/>
      <c r="BH91" s="71"/>
      <c r="BI91" s="71"/>
      <c r="BJ91" s="71"/>
      <c r="BK91" s="71"/>
      <c r="BL91" s="71"/>
      <c r="BM91" s="71"/>
      <c r="BN91" s="71"/>
      <c r="BO91" s="71"/>
      <c r="BP91" s="71"/>
      <c r="BQ91" s="71"/>
      <c r="BR91" s="71"/>
      <c r="BS91" s="71"/>
      <c r="BT91" s="71"/>
      <c r="BU91" s="71"/>
      <c r="BV91" s="71"/>
      <c r="BW91" s="71"/>
      <c r="BX91" s="71"/>
      <c r="BY91" s="71"/>
      <c r="BZ91" s="71"/>
      <c r="CA91" s="71"/>
      <c r="CB91" s="71"/>
      <c r="CC91" s="71"/>
    </row>
    <row r="92" spans="2:81" x14ac:dyDescent="0.2">
      <c r="B92" s="23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>
        <f>+IF(AC$10&gt;$U$2,"",AA90/$Q$2)</f>
        <v>226.44646420051569</v>
      </c>
      <c r="AD92" s="21"/>
      <c r="AE92" s="21"/>
      <c r="AF92" s="21"/>
      <c r="AG92" s="21">
        <f>+IF(AG$10&gt;$U$2,"",AE90/$Q$2)</f>
        <v>226.44646420051569</v>
      </c>
      <c r="AH92" s="21"/>
      <c r="AI92" s="21"/>
      <c r="AJ92" s="21"/>
      <c r="AK92" s="21">
        <f>+IF(AK$10&gt;$U$2,"",AI90/$Q$2)</f>
        <v>226.44646420051569</v>
      </c>
      <c r="AL92" s="21"/>
      <c r="AM92" s="21"/>
      <c r="AN92" s="21"/>
      <c r="AO92" s="21">
        <f>+IF(AO$10&gt;$U$2,"",AM90/$Q$2)</f>
        <v>226.44646420051569</v>
      </c>
      <c r="AP92" s="21"/>
      <c r="AQ92" s="21"/>
      <c r="AR92" s="21"/>
      <c r="AS92" s="21">
        <f>+IF(AS$10&gt;$U$2,"",AQ90/$Q$2)</f>
        <v>226.44646420051569</v>
      </c>
      <c r="AT92" s="21"/>
      <c r="AU92" s="21"/>
      <c r="AV92" s="21"/>
      <c r="AW92" s="21">
        <f>+IF(AW$10&gt;$U$2,"",AU90/$Q$2)</f>
        <v>226.44646420051569</v>
      </c>
      <c r="AX92" s="21"/>
      <c r="AY92" s="21"/>
      <c r="AZ92" s="21"/>
      <c r="BA92" s="21">
        <f>+IF(BA$10&gt;$U$2,"",AY90/$Q$2)</f>
        <v>226.44646420051569</v>
      </c>
      <c r="BB92" s="21"/>
      <c r="BC92" s="22"/>
      <c r="BD92" s="71"/>
      <c r="BE92" s="71"/>
      <c r="BF92" s="71"/>
      <c r="BG92" s="71"/>
      <c r="BH92" s="71"/>
      <c r="BI92" s="71"/>
      <c r="BJ92" s="71"/>
      <c r="BK92" s="71"/>
      <c r="BL92" s="71"/>
      <c r="BM92" s="71"/>
      <c r="BN92" s="71"/>
      <c r="BO92" s="71"/>
      <c r="BP92" s="71"/>
      <c r="BQ92" s="71"/>
      <c r="BR92" s="71"/>
      <c r="BS92" s="71"/>
      <c r="BT92" s="71"/>
      <c r="BU92" s="71"/>
      <c r="BV92" s="71"/>
      <c r="BW92" s="71"/>
      <c r="BX92" s="71"/>
      <c r="BY92" s="71"/>
      <c r="BZ92" s="71"/>
      <c r="CA92" s="71"/>
      <c r="CB92" s="71"/>
      <c r="CC92" s="71"/>
    </row>
    <row r="93" spans="2:81" ht="14.25" x14ac:dyDescent="0.2">
      <c r="B93" s="23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65" t="str">
        <f>IF(AE$10&gt;$U$2,"",$G$1)</f>
        <v>│</v>
      </c>
      <c r="AE93" s="21"/>
      <c r="AF93" s="25" t="str">
        <f>IF(AG$10&gt;$U$2,"",$F$1)</f>
        <v>│</v>
      </c>
      <c r="AG93" s="21"/>
      <c r="AH93" s="65" t="str">
        <f>IF(AI$10&gt;$U$2,"",$G$1)</f>
        <v>│</v>
      </c>
      <c r="AI93" s="21"/>
      <c r="AJ93" s="25" t="str">
        <f>IF(AK$10&gt;$U$2,"",$F$1)</f>
        <v>│</v>
      </c>
      <c r="AK93" s="21"/>
      <c r="AL93" s="65" t="str">
        <f>IF(AM$10&gt;$U$2,"",$G$1)</f>
        <v>│</v>
      </c>
      <c r="AM93" s="21"/>
      <c r="AN93" s="25" t="str">
        <f>IF(AO$10&gt;$U$2,"",$F$1)</f>
        <v>│</v>
      </c>
      <c r="AO93" s="21"/>
      <c r="AP93" s="65" t="str">
        <f>IF(AQ$10&gt;$U$2,"",$G$1)</f>
        <v>│</v>
      </c>
      <c r="AQ93" s="21"/>
      <c r="AR93" s="25" t="str">
        <f>IF(AS$10&gt;$U$2,"",$F$1)</f>
        <v>│</v>
      </c>
      <c r="AS93" s="21"/>
      <c r="AT93" s="65" t="str">
        <f>IF(AU$10&gt;$U$2,"",$G$1)</f>
        <v>│</v>
      </c>
      <c r="AU93" s="21"/>
      <c r="AV93" s="25" t="str">
        <f>IF(AW$10&gt;$U$2,"",$F$1)</f>
        <v>│</v>
      </c>
      <c r="AW93" s="21"/>
      <c r="AX93" s="65" t="str">
        <f>IF(AY$10&gt;$U$2,"",$G$1)</f>
        <v>│</v>
      </c>
      <c r="AY93" s="21"/>
      <c r="AZ93" s="25" t="str">
        <f>IF(BA$10&gt;$U$2,"",$F$1)</f>
        <v>│</v>
      </c>
      <c r="BA93" s="21"/>
      <c r="BB93" s="65" t="str">
        <f>IF(BC$10&gt;$U$2,"",$G$1)</f>
        <v>│</v>
      </c>
      <c r="BC93" s="22"/>
      <c r="BD93" s="71"/>
      <c r="BE93" s="71"/>
      <c r="BF93" s="71"/>
      <c r="BG93" s="71"/>
      <c r="BH93" s="71"/>
      <c r="BI93" s="71"/>
      <c r="BJ93" s="71"/>
      <c r="BK93" s="71"/>
      <c r="BL93" s="71"/>
      <c r="BM93" s="71"/>
      <c r="BN93" s="71"/>
      <c r="BO93" s="71"/>
      <c r="BP93" s="71"/>
      <c r="BQ93" s="71"/>
      <c r="BR93" s="71"/>
      <c r="BS93" s="71"/>
      <c r="BT93" s="71"/>
      <c r="BU93" s="71"/>
      <c r="BV93" s="71"/>
      <c r="BW93" s="71"/>
      <c r="BX93" s="71"/>
      <c r="BY93" s="71"/>
      <c r="BZ93" s="71"/>
      <c r="CA93" s="71"/>
      <c r="CB93" s="71"/>
      <c r="CC93" s="71"/>
    </row>
    <row r="94" spans="2:81" x14ac:dyDescent="0.2">
      <c r="B94" s="23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>
        <f>+IF(AE$10&gt;$U$2,"",AC92/$Q$2)</f>
        <v>216.7495870259558</v>
      </c>
      <c r="AF94" s="21"/>
      <c r="AG94" s="21"/>
      <c r="AH94" s="21"/>
      <c r="AI94" s="21">
        <f>+IF(AI$10&gt;$U$2,"",AG96*$Q$2)</f>
        <v>216.7495870259558</v>
      </c>
      <c r="AJ94" s="21"/>
      <c r="AK94" s="21"/>
      <c r="AL94" s="21"/>
      <c r="AM94" s="21">
        <f>+IF(AM$10&gt;$U$2,"",AK96*$Q$2)</f>
        <v>216.7495870259558</v>
      </c>
      <c r="AN94" s="21"/>
      <c r="AO94" s="21"/>
      <c r="AP94" s="21"/>
      <c r="AQ94" s="21">
        <f>+IF(AQ$10&gt;$U$2,"",AO96*$Q$2)</f>
        <v>216.7495870259558</v>
      </c>
      <c r="AR94" s="21"/>
      <c r="AS94" s="21"/>
      <c r="AT94" s="21"/>
      <c r="AU94" s="21">
        <f>+IF(AU$10&gt;$U$2,"",AS96*$Q$2)</f>
        <v>216.7495870259558</v>
      </c>
      <c r="AV94" s="21"/>
      <c r="AW94" s="21"/>
      <c r="AX94" s="21"/>
      <c r="AY94" s="21">
        <f>+IF(AY$10&gt;$U$2,"",AW96*$Q$2)</f>
        <v>216.7495870259558</v>
      </c>
      <c r="AZ94" s="21"/>
      <c r="BA94" s="21"/>
      <c r="BB94" s="21"/>
      <c r="BC94" s="22">
        <f>+IF(BC$10&gt;$U$2,"",BA96*$Q$2)</f>
        <v>216.74958702595583</v>
      </c>
      <c r="BD94" s="71"/>
      <c r="BE94" s="71"/>
      <c r="BF94" s="71"/>
      <c r="BG94" s="71"/>
      <c r="BH94" s="71"/>
      <c r="BI94" s="71"/>
      <c r="BJ94" s="71"/>
      <c r="BK94" s="71"/>
      <c r="BL94" s="71"/>
      <c r="BM94" s="71"/>
      <c r="BN94" s="71"/>
      <c r="BO94" s="71"/>
      <c r="BP94" s="71"/>
      <c r="BQ94" s="71"/>
      <c r="BR94" s="71"/>
      <c r="BS94" s="71"/>
      <c r="BT94" s="71"/>
      <c r="BU94" s="71"/>
      <c r="BV94" s="71"/>
      <c r="BW94" s="71"/>
      <c r="BX94" s="71"/>
      <c r="BY94" s="71"/>
      <c r="BZ94" s="71"/>
      <c r="CA94" s="71"/>
      <c r="CB94" s="71"/>
      <c r="CC94" s="71"/>
    </row>
    <row r="95" spans="2:81" ht="14.25" x14ac:dyDescent="0.2">
      <c r="B95" s="23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65" t="str">
        <f>IF(AG$10&gt;$U$2,"",$G$1)</f>
        <v>│</v>
      </c>
      <c r="AG95" s="21"/>
      <c r="AH95" s="25" t="str">
        <f>IF(AI$10&gt;$U$2,"",$F$1)</f>
        <v>│</v>
      </c>
      <c r="AI95" s="21"/>
      <c r="AJ95" s="65" t="str">
        <f>IF(AK$10&gt;$U$2,"",$G$1)</f>
        <v>│</v>
      </c>
      <c r="AK95" s="21"/>
      <c r="AL95" s="25" t="str">
        <f>IF(AM$10&gt;$U$2,"",$F$1)</f>
        <v>│</v>
      </c>
      <c r="AM95" s="21"/>
      <c r="AN95" s="65" t="str">
        <f>IF(AO$10&gt;$U$2,"",$G$1)</f>
        <v>│</v>
      </c>
      <c r="AO95" s="21"/>
      <c r="AP95" s="25" t="str">
        <f>IF(AQ$10&gt;$U$2,"",$F$1)</f>
        <v>│</v>
      </c>
      <c r="AQ95" s="21"/>
      <c r="AR95" s="65" t="str">
        <f>IF(AS$10&gt;$U$2,"",$G$1)</f>
        <v>│</v>
      </c>
      <c r="AS95" s="21"/>
      <c r="AT95" s="25" t="str">
        <f>IF(AU$10&gt;$U$2,"",$F$1)</f>
        <v>│</v>
      </c>
      <c r="AU95" s="21"/>
      <c r="AV95" s="65" t="str">
        <f>IF(AW$10&gt;$U$2,"",$G$1)</f>
        <v>│</v>
      </c>
      <c r="AW95" s="21"/>
      <c r="AX95" s="25" t="str">
        <f>IF(AY$10&gt;$U$2,"",$F$1)</f>
        <v>│</v>
      </c>
      <c r="AY95" s="21"/>
      <c r="AZ95" s="65" t="str">
        <f>IF(BA$10&gt;$U$2,"",$G$1)</f>
        <v>│</v>
      </c>
      <c r="BA95" s="21"/>
      <c r="BB95" s="25" t="str">
        <f>IF(BC$10&gt;$U$2,"",$F$1)</f>
        <v>│</v>
      </c>
      <c r="BC95" s="22"/>
      <c r="BD95" s="71"/>
      <c r="BE95" s="71"/>
      <c r="BF95" s="71"/>
      <c r="BG95" s="71"/>
      <c r="BH95" s="71"/>
      <c r="BI95" s="71"/>
      <c r="BJ95" s="71"/>
      <c r="BK95" s="71"/>
      <c r="BL95" s="71"/>
      <c r="BM95" s="71"/>
      <c r="BN95" s="71"/>
      <c r="BO95" s="71"/>
      <c r="BP95" s="71"/>
      <c r="BQ95" s="71"/>
      <c r="BR95" s="71"/>
      <c r="BS95" s="71"/>
      <c r="BT95" s="71"/>
      <c r="BU95" s="71"/>
      <c r="BV95" s="71"/>
      <c r="BW95" s="71"/>
      <c r="BX95" s="71"/>
      <c r="BY95" s="71"/>
      <c r="BZ95" s="71"/>
      <c r="CA95" s="71"/>
      <c r="CB95" s="71"/>
      <c r="CC95" s="71"/>
    </row>
    <row r="96" spans="2:81" x14ac:dyDescent="0.2">
      <c r="B96" s="23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>
        <f>+IF(AG$10&gt;$U$2,"",AE94/$Q$2)</f>
        <v>207.46794895557215</v>
      </c>
      <c r="AH96" s="21"/>
      <c r="AI96" s="21"/>
      <c r="AJ96" s="21"/>
      <c r="AK96" s="21">
        <f>+IF(AK$10&gt;$U$2,"",AI98*$Q$2)</f>
        <v>207.46794895557215</v>
      </c>
      <c r="AL96" s="21"/>
      <c r="AM96" s="21"/>
      <c r="AN96" s="21"/>
      <c r="AO96" s="21">
        <f>+IF(AO$10&gt;$U$2,"",AM98*$Q$2)</f>
        <v>207.46794895557215</v>
      </c>
      <c r="AP96" s="21"/>
      <c r="AQ96" s="21"/>
      <c r="AR96" s="21"/>
      <c r="AS96" s="21">
        <f>+IF(AS$10&gt;$U$2,"",AQ98*$Q$2)</f>
        <v>207.46794895557215</v>
      </c>
      <c r="AT96" s="21"/>
      <c r="AU96" s="21"/>
      <c r="AV96" s="21"/>
      <c r="AW96" s="21">
        <f>+IF(AW$10&gt;$U$2,"",AU98*$Q$2)</f>
        <v>207.46794895557215</v>
      </c>
      <c r="AX96" s="21"/>
      <c r="AY96" s="21"/>
      <c r="AZ96" s="21"/>
      <c r="BA96" s="21">
        <f>+IF(BA$10&gt;$U$2,"",AY98*$Q$2)</f>
        <v>207.46794895557218</v>
      </c>
      <c r="BB96" s="21"/>
      <c r="BC96" s="22"/>
      <c r="BD96" s="71"/>
      <c r="BE96" s="71"/>
      <c r="BF96" s="71"/>
      <c r="BG96" s="71"/>
      <c r="BH96" s="71"/>
      <c r="BI96" s="71"/>
      <c r="BJ96" s="71"/>
      <c r="BK96" s="71"/>
      <c r="BL96" s="71"/>
      <c r="BM96" s="71"/>
      <c r="BN96" s="71"/>
      <c r="BO96" s="71"/>
      <c r="BP96" s="71"/>
      <c r="BQ96" s="71"/>
      <c r="BR96" s="71"/>
      <c r="BS96" s="71"/>
      <c r="BT96" s="71"/>
      <c r="BU96" s="71"/>
      <c r="BV96" s="71"/>
      <c r="BW96" s="71"/>
      <c r="BX96" s="71"/>
      <c r="BY96" s="71"/>
      <c r="BZ96" s="71"/>
      <c r="CA96" s="71"/>
      <c r="CB96" s="71"/>
      <c r="CC96" s="71"/>
    </row>
    <row r="97" spans="2:81" ht="14.25" x14ac:dyDescent="0.2">
      <c r="B97" s="23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65" t="str">
        <f>IF(AI$10&gt;$U$2,"",$G$1)</f>
        <v>│</v>
      </c>
      <c r="AI97" s="21"/>
      <c r="AJ97" s="25" t="str">
        <f>IF(AK$10&gt;$U$2,"",$F$1)</f>
        <v>│</v>
      </c>
      <c r="AK97" s="21"/>
      <c r="AL97" s="65" t="str">
        <f>IF(AM$10&gt;$U$2,"",$G$1)</f>
        <v>│</v>
      </c>
      <c r="AM97" s="21"/>
      <c r="AN97" s="25" t="str">
        <f>IF(AO$10&gt;$U$2,"",$F$1)</f>
        <v>│</v>
      </c>
      <c r="AO97" s="21"/>
      <c r="AP97" s="65" t="str">
        <f>IF(AQ$10&gt;$U$2,"",$G$1)</f>
        <v>│</v>
      </c>
      <c r="AQ97" s="21"/>
      <c r="AR97" s="25" t="str">
        <f>IF(AS$10&gt;$U$2,"",$F$1)</f>
        <v>│</v>
      </c>
      <c r="AS97" s="21"/>
      <c r="AT97" s="65" t="str">
        <f>IF(AU$10&gt;$U$2,"",$G$1)</f>
        <v>│</v>
      </c>
      <c r="AU97" s="21"/>
      <c r="AV97" s="25" t="str">
        <f>IF(AW$10&gt;$U$2,"",$F$1)</f>
        <v>│</v>
      </c>
      <c r="AW97" s="21"/>
      <c r="AX97" s="65" t="str">
        <f>IF(AY$10&gt;$U$2,"",$G$1)</f>
        <v>│</v>
      </c>
      <c r="AY97" s="21"/>
      <c r="AZ97" s="25" t="str">
        <f>IF(BA$10&gt;$U$2,"",$F$1)</f>
        <v>│</v>
      </c>
      <c r="BA97" s="21"/>
      <c r="BB97" s="65" t="str">
        <f>IF(BC$10&gt;$U$2,"",$G$1)</f>
        <v>│</v>
      </c>
      <c r="BC97" s="22"/>
      <c r="BD97" s="71"/>
      <c r="BE97" s="71"/>
      <c r="BF97" s="71"/>
      <c r="BG97" s="71"/>
      <c r="BH97" s="71"/>
      <c r="BI97" s="71"/>
      <c r="BJ97" s="71"/>
      <c r="BK97" s="71"/>
      <c r="BL97" s="71"/>
      <c r="BM97" s="71"/>
      <c r="BN97" s="71"/>
      <c r="BO97" s="71"/>
      <c r="BP97" s="71"/>
      <c r="BQ97" s="71"/>
      <c r="BR97" s="71"/>
      <c r="BS97" s="71"/>
      <c r="BT97" s="71"/>
      <c r="BU97" s="71"/>
      <c r="BV97" s="71"/>
      <c r="BW97" s="71"/>
      <c r="BX97" s="71"/>
      <c r="BY97" s="71"/>
      <c r="BZ97" s="71"/>
      <c r="CA97" s="71"/>
      <c r="CB97" s="71"/>
      <c r="CC97" s="71"/>
    </row>
    <row r="98" spans="2:81" x14ac:dyDescent="0.2">
      <c r="B98" s="23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>
        <f>+IF(AI$10&gt;$U$2,"",AG96/$Q$2)</f>
        <v>198.58376864486249</v>
      </c>
      <c r="AJ98" s="21"/>
      <c r="AK98" s="21"/>
      <c r="AL98" s="21"/>
      <c r="AM98" s="21">
        <f>+IF(AM$10&gt;$U$2,"",AK100*$Q$2)</f>
        <v>198.58376864486249</v>
      </c>
      <c r="AN98" s="21"/>
      <c r="AO98" s="21"/>
      <c r="AP98" s="21"/>
      <c r="AQ98" s="21">
        <f>+IF(AQ$10&gt;$U$2,"",AO100*$Q$2)</f>
        <v>198.58376864486249</v>
      </c>
      <c r="AR98" s="21"/>
      <c r="AS98" s="21"/>
      <c r="AT98" s="21"/>
      <c r="AU98" s="21">
        <f>+IF(AU$10&gt;$U$2,"",AS100*$Q$2)</f>
        <v>198.58376864486249</v>
      </c>
      <c r="AV98" s="21"/>
      <c r="AW98" s="21"/>
      <c r="AX98" s="21"/>
      <c r="AY98" s="21">
        <f>+IF(AY$10&gt;$U$2,"",AW100*$Q$2)</f>
        <v>198.58376864486252</v>
      </c>
      <c r="AZ98" s="21"/>
      <c r="BA98" s="21"/>
      <c r="BB98" s="21"/>
      <c r="BC98" s="22">
        <f>+IF(BC$10&gt;$U$2,"",BA100*$Q$2)</f>
        <v>198.58376864486246</v>
      </c>
      <c r="BD98" s="71"/>
      <c r="BE98" s="71"/>
      <c r="BF98" s="71"/>
      <c r="BG98" s="71"/>
      <c r="BH98" s="71"/>
      <c r="BI98" s="71"/>
      <c r="BJ98" s="71"/>
      <c r="BK98" s="71"/>
      <c r="BL98" s="71"/>
      <c r="BM98" s="71"/>
      <c r="BN98" s="71"/>
      <c r="BO98" s="71"/>
      <c r="BP98" s="71"/>
      <c r="BQ98" s="71"/>
      <c r="BR98" s="71"/>
      <c r="BS98" s="71"/>
      <c r="BT98" s="71"/>
      <c r="BU98" s="71"/>
      <c r="BV98" s="71"/>
      <c r="BW98" s="71"/>
      <c r="BX98" s="71"/>
      <c r="BY98" s="71"/>
      <c r="BZ98" s="71"/>
      <c r="CA98" s="71"/>
      <c r="CB98" s="71"/>
      <c r="CC98" s="71"/>
    </row>
    <row r="99" spans="2:81" ht="14.25" x14ac:dyDescent="0.2">
      <c r="B99" s="23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65" t="str">
        <f>IF(AK$10&gt;$U$2,"",$G$1)</f>
        <v>│</v>
      </c>
      <c r="AK99" s="21"/>
      <c r="AL99" s="25" t="str">
        <f>IF(AM$10&gt;$U$2,"",$F$1)</f>
        <v>│</v>
      </c>
      <c r="AM99" s="21"/>
      <c r="AN99" s="65" t="str">
        <f>IF(AO$10&gt;$U$2,"",$G$1)</f>
        <v>│</v>
      </c>
      <c r="AO99" s="21"/>
      <c r="AP99" s="25" t="str">
        <f>IF(AQ$10&gt;$U$2,"",$F$1)</f>
        <v>│</v>
      </c>
      <c r="AQ99" s="21"/>
      <c r="AR99" s="65" t="str">
        <f>IF(AS$10&gt;$U$2,"",$G$1)</f>
        <v>│</v>
      </c>
      <c r="AS99" s="21"/>
      <c r="AT99" s="25" t="str">
        <f>IF(AU$10&gt;$U$2,"",$F$1)</f>
        <v>│</v>
      </c>
      <c r="AU99" s="21"/>
      <c r="AV99" s="65" t="str">
        <f>IF(AW$10&gt;$U$2,"",$G$1)</f>
        <v>│</v>
      </c>
      <c r="AW99" s="21"/>
      <c r="AX99" s="25" t="str">
        <f>IF(AY$10&gt;$U$2,"",$F$1)</f>
        <v>│</v>
      </c>
      <c r="AY99" s="21"/>
      <c r="AZ99" s="65" t="str">
        <f>IF(BA$10&gt;$U$2,"",$G$1)</f>
        <v>│</v>
      </c>
      <c r="BA99" s="21"/>
      <c r="BB99" s="25" t="str">
        <f>IF(BC$10&gt;$U$2,"",$F$1)</f>
        <v>│</v>
      </c>
      <c r="BC99" s="22"/>
      <c r="BD99" s="71"/>
      <c r="BE99" s="71"/>
      <c r="BF99" s="71"/>
      <c r="BG99" s="71"/>
      <c r="BH99" s="71"/>
      <c r="BI99" s="71"/>
      <c r="BJ99" s="71"/>
      <c r="BK99" s="71"/>
      <c r="BL99" s="71"/>
      <c r="BM99" s="71"/>
      <c r="BN99" s="71"/>
      <c r="BO99" s="71"/>
      <c r="BP99" s="71"/>
      <c r="BQ99" s="71"/>
      <c r="BR99" s="71"/>
      <c r="BS99" s="71"/>
      <c r="BT99" s="71"/>
      <c r="BU99" s="71"/>
      <c r="BV99" s="71"/>
      <c r="BW99" s="71"/>
      <c r="BX99" s="71"/>
      <c r="BY99" s="71"/>
      <c r="BZ99" s="71"/>
      <c r="CA99" s="71"/>
      <c r="CB99" s="71"/>
      <c r="CC99" s="71"/>
    </row>
    <row r="100" spans="2:81" x14ac:dyDescent="0.2">
      <c r="B100" s="23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>
        <f>+IF(AK$10&gt;$U$2,"",AI98/$Q$2)</f>
        <v>190.08002618101321</v>
      </c>
      <c r="AL100" s="21"/>
      <c r="AM100" s="21"/>
      <c r="AN100" s="21"/>
      <c r="AO100" s="21">
        <f>+IF(AO$10&gt;$U$2,"",AM102*$Q$2)</f>
        <v>190.08002618101321</v>
      </c>
      <c r="AP100" s="21"/>
      <c r="AQ100" s="21"/>
      <c r="AR100" s="21"/>
      <c r="AS100" s="21">
        <f>+IF(AS$10&gt;$U$2,"",AQ102*$Q$2)</f>
        <v>190.08002618101321</v>
      </c>
      <c r="AT100" s="21"/>
      <c r="AU100" s="21"/>
      <c r="AV100" s="21"/>
      <c r="AW100" s="21">
        <f>+IF(AW$10&gt;$U$2,"",AU102*$Q$2)</f>
        <v>190.08002618101324</v>
      </c>
      <c r="AX100" s="21"/>
      <c r="AY100" s="21"/>
      <c r="AZ100" s="21"/>
      <c r="BA100" s="21">
        <f>+IF(BA$10&gt;$U$2,"",AY102*$Q$2)</f>
        <v>190.08002618101318</v>
      </c>
      <c r="BB100" s="21"/>
      <c r="BC100" s="22"/>
      <c r="BD100" s="71"/>
      <c r="BE100" s="71"/>
      <c r="BF100" s="71"/>
      <c r="BG100" s="71"/>
      <c r="BH100" s="71"/>
      <c r="BI100" s="71"/>
      <c r="BJ100" s="71"/>
      <c r="BK100" s="71"/>
      <c r="BL100" s="71"/>
      <c r="BM100" s="71"/>
      <c r="BN100" s="71"/>
      <c r="BO100" s="71"/>
      <c r="BP100" s="71"/>
      <c r="BQ100" s="71"/>
      <c r="BR100" s="71"/>
      <c r="BS100" s="71"/>
      <c r="BT100" s="71"/>
      <c r="BU100" s="71"/>
      <c r="BV100" s="71"/>
      <c r="BW100" s="71"/>
      <c r="BX100" s="71"/>
      <c r="BY100" s="71"/>
      <c r="BZ100" s="71"/>
      <c r="CA100" s="71"/>
      <c r="CB100" s="71"/>
      <c r="CC100" s="71"/>
    </row>
    <row r="101" spans="2:81" ht="14.25" x14ac:dyDescent="0.2">
      <c r="B101" s="23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65" t="str">
        <f>IF(AM$10&gt;$U$2,"",$G$1)</f>
        <v>│</v>
      </c>
      <c r="AM101" s="21"/>
      <c r="AN101" s="25" t="str">
        <f>IF(AO$10&gt;$U$2,"",$F$1)</f>
        <v>│</v>
      </c>
      <c r="AO101" s="21"/>
      <c r="AP101" s="65" t="str">
        <f>IF(AQ$10&gt;$U$2,"",$G$1)</f>
        <v>│</v>
      </c>
      <c r="AQ101" s="21"/>
      <c r="AR101" s="25" t="str">
        <f>IF(AS$10&gt;$U$2,"",$F$1)</f>
        <v>│</v>
      </c>
      <c r="AS101" s="21"/>
      <c r="AT101" s="65" t="str">
        <f>IF(AU$10&gt;$U$2,"",$G$1)</f>
        <v>│</v>
      </c>
      <c r="AU101" s="21"/>
      <c r="AV101" s="25" t="str">
        <f>IF(AW$10&gt;$U$2,"",$F$1)</f>
        <v>│</v>
      </c>
      <c r="AW101" s="21"/>
      <c r="AX101" s="65" t="str">
        <f>IF(AY$10&gt;$U$2,"",$G$1)</f>
        <v>│</v>
      </c>
      <c r="AY101" s="21"/>
      <c r="AZ101" s="25" t="str">
        <f>IF(BA$10&gt;$U$2,"",$F$1)</f>
        <v>│</v>
      </c>
      <c r="BA101" s="21"/>
      <c r="BB101" s="65" t="str">
        <f>IF(BC$10&gt;$U$2,"",$G$1)</f>
        <v>│</v>
      </c>
      <c r="BC101" s="22"/>
      <c r="BD101" s="71"/>
      <c r="BE101" s="71"/>
      <c r="BF101" s="71"/>
      <c r="BG101" s="71"/>
      <c r="BH101" s="71"/>
      <c r="BI101" s="71"/>
      <c r="BJ101" s="71"/>
      <c r="BK101" s="71"/>
      <c r="BL101" s="71"/>
      <c r="BM101" s="71"/>
      <c r="BN101" s="71"/>
      <c r="BO101" s="71"/>
      <c r="BP101" s="71"/>
      <c r="BQ101" s="71"/>
      <c r="BR101" s="71"/>
      <c r="BS101" s="71"/>
      <c r="BT101" s="71"/>
      <c r="BU101" s="71"/>
      <c r="BV101" s="71"/>
      <c r="BW101" s="71"/>
      <c r="BX101" s="71"/>
      <c r="BY101" s="71"/>
      <c r="BZ101" s="71"/>
      <c r="CA101" s="71"/>
      <c r="CB101" s="71"/>
      <c r="CC101" s="71"/>
    </row>
    <row r="102" spans="2:81" x14ac:dyDescent="0.2">
      <c r="B102" s="23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21"/>
      <c r="AM102" s="21">
        <f>+IF(AM$10&gt;$U$2,"",AK100/$Q$2)</f>
        <v>181.94043047691648</v>
      </c>
      <c r="AN102" s="21"/>
      <c r="AO102" s="21"/>
      <c r="AP102" s="21"/>
      <c r="AQ102" s="21">
        <f>+IF(AQ$10&gt;$U$2,"",AO104*$Q$2)</f>
        <v>181.94043047691648</v>
      </c>
      <c r="AR102" s="21"/>
      <c r="AS102" s="21"/>
      <c r="AT102" s="21"/>
      <c r="AU102" s="21">
        <f>+IF(AU$10&gt;$U$2,"",AS104*$Q$2)</f>
        <v>181.9404304769165</v>
      </c>
      <c r="AV102" s="21"/>
      <c r="AW102" s="21"/>
      <c r="AX102" s="21"/>
      <c r="AY102" s="21">
        <f>+IF(AY$10&gt;$U$2,"",AW104*$Q$2)</f>
        <v>181.94043047691645</v>
      </c>
      <c r="AZ102" s="21"/>
      <c r="BA102" s="21"/>
      <c r="BB102" s="21"/>
      <c r="BC102" s="22">
        <f>+IF(BC$10&gt;$U$2,"",BA104*$Q$2)</f>
        <v>181.94043047691645</v>
      </c>
      <c r="BD102" s="71"/>
      <c r="BE102" s="71"/>
      <c r="BF102" s="71"/>
      <c r="BG102" s="71"/>
      <c r="BH102" s="71"/>
      <c r="BI102" s="71"/>
      <c r="BJ102" s="71"/>
      <c r="BK102" s="71"/>
      <c r="BL102" s="71"/>
      <c r="BM102" s="71"/>
      <c r="BN102" s="71"/>
      <c r="BO102" s="71"/>
      <c r="BP102" s="71"/>
      <c r="BQ102" s="71"/>
      <c r="BR102" s="71"/>
      <c r="BS102" s="71"/>
      <c r="BT102" s="71"/>
      <c r="BU102" s="71"/>
      <c r="BV102" s="71"/>
      <c r="BW102" s="71"/>
      <c r="BX102" s="71"/>
      <c r="BY102" s="71"/>
      <c r="BZ102" s="71"/>
      <c r="CA102" s="71"/>
      <c r="CB102" s="71"/>
      <c r="CC102" s="71"/>
    </row>
    <row r="103" spans="2:81" ht="14.25" x14ac:dyDescent="0.2">
      <c r="B103" s="23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21"/>
      <c r="AM103" s="21"/>
      <c r="AN103" s="65" t="str">
        <f>IF(AO$10&gt;$U$2,"",$G$1)</f>
        <v>│</v>
      </c>
      <c r="AO103" s="21"/>
      <c r="AP103" s="25" t="str">
        <f>IF(AQ$10&gt;$U$2,"",$F$1)</f>
        <v>│</v>
      </c>
      <c r="AQ103" s="21"/>
      <c r="AR103" s="65" t="str">
        <f>IF(AS$10&gt;$U$2,"",$G$1)</f>
        <v>│</v>
      </c>
      <c r="AS103" s="21"/>
      <c r="AT103" s="25" t="str">
        <f>IF(AU$10&gt;$U$2,"",$F$1)</f>
        <v>│</v>
      </c>
      <c r="AU103" s="21"/>
      <c r="AV103" s="65" t="str">
        <f>IF(AW$10&gt;$U$2,"",$G$1)</f>
        <v>│</v>
      </c>
      <c r="AW103" s="21"/>
      <c r="AX103" s="25" t="str">
        <f>IF(AY$10&gt;$U$2,"",$F$1)</f>
        <v>│</v>
      </c>
      <c r="AY103" s="21"/>
      <c r="AZ103" s="65" t="str">
        <f>IF(BA$10&gt;$U$2,"",$G$1)</f>
        <v>│</v>
      </c>
      <c r="BA103" s="21"/>
      <c r="BB103" s="25" t="str">
        <f>IF(BC$10&gt;$U$2,"",$F$1)</f>
        <v>│</v>
      </c>
      <c r="BC103" s="22"/>
      <c r="BD103" s="71"/>
      <c r="BE103" s="71"/>
      <c r="BF103" s="71"/>
      <c r="BG103" s="71"/>
      <c r="BH103" s="71"/>
      <c r="BI103" s="71"/>
      <c r="BJ103" s="71"/>
      <c r="BK103" s="71"/>
      <c r="BL103" s="71"/>
      <c r="BM103" s="71"/>
      <c r="BN103" s="71"/>
      <c r="BO103" s="71"/>
      <c r="BP103" s="71"/>
      <c r="BQ103" s="71"/>
      <c r="BR103" s="71"/>
      <c r="BS103" s="71"/>
      <c r="BT103" s="71"/>
      <c r="BU103" s="71"/>
      <c r="BV103" s="71"/>
      <c r="BW103" s="71"/>
      <c r="BX103" s="71"/>
      <c r="BY103" s="71"/>
      <c r="BZ103" s="71"/>
      <c r="CA103" s="71"/>
      <c r="CB103" s="71"/>
      <c r="CC103" s="71"/>
    </row>
    <row r="104" spans="2:81" x14ac:dyDescent="0.2">
      <c r="B104" s="23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>
        <f>+IF(AO$10&gt;$U$2,"",AM102/$Q$2)</f>
        <v>174.1493880614386</v>
      </c>
      <c r="AP104" s="21"/>
      <c r="AQ104" s="21"/>
      <c r="AR104" s="21"/>
      <c r="AS104" s="21">
        <f>+IF(AS$10&gt;$U$2,"",AQ106*$Q$2)</f>
        <v>174.14938806143863</v>
      </c>
      <c r="AT104" s="21"/>
      <c r="AU104" s="21"/>
      <c r="AV104" s="21"/>
      <c r="AW104" s="21">
        <f>+IF(AW$10&gt;$U$2,"",AU106*$Q$2)</f>
        <v>174.14938806143857</v>
      </c>
      <c r="AX104" s="21"/>
      <c r="AY104" s="21"/>
      <c r="AZ104" s="21"/>
      <c r="BA104" s="21">
        <f>+IF(BA$10&gt;$U$2,"",AY106*$Q$2)</f>
        <v>174.14938806143857</v>
      </c>
      <c r="BB104" s="21"/>
      <c r="BC104" s="22"/>
      <c r="BD104" s="71"/>
      <c r="BE104" s="71"/>
      <c r="BF104" s="71"/>
      <c r="BG104" s="71"/>
      <c r="BH104" s="71"/>
      <c r="BI104" s="71"/>
      <c r="BJ104" s="71"/>
      <c r="BK104" s="71"/>
      <c r="BL104" s="71"/>
      <c r="BM104" s="71"/>
      <c r="BN104" s="71"/>
      <c r="BO104" s="71"/>
      <c r="BP104" s="71"/>
      <c r="BQ104" s="71"/>
      <c r="BR104" s="71"/>
      <c r="BS104" s="71"/>
      <c r="BT104" s="71"/>
      <c r="BU104" s="71"/>
      <c r="BV104" s="71"/>
      <c r="BW104" s="71"/>
      <c r="BX104" s="71"/>
      <c r="BY104" s="71"/>
      <c r="BZ104" s="71"/>
      <c r="CA104" s="71"/>
      <c r="CB104" s="71"/>
      <c r="CC104" s="71"/>
    </row>
    <row r="105" spans="2:81" ht="14.25" x14ac:dyDescent="0.2">
      <c r="B105" s="23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65" t="str">
        <f>IF(AQ$10&gt;$U$2,"",$G$1)</f>
        <v>│</v>
      </c>
      <c r="AQ105" s="21"/>
      <c r="AR105" s="25" t="str">
        <f>IF(AS$10&gt;$U$2,"",$F$1)</f>
        <v>│</v>
      </c>
      <c r="AS105" s="21"/>
      <c r="AT105" s="65" t="str">
        <f>IF(AU$10&gt;$U$2,"",$G$1)</f>
        <v>│</v>
      </c>
      <c r="AU105" s="21"/>
      <c r="AV105" s="25" t="str">
        <f>IF(AW$10&gt;$U$2,"",$F$1)</f>
        <v>│</v>
      </c>
      <c r="AW105" s="21"/>
      <c r="AX105" s="65" t="str">
        <f>IF(AY$10&gt;$U$2,"",$G$1)</f>
        <v>│</v>
      </c>
      <c r="AY105" s="21"/>
      <c r="AZ105" s="25" t="str">
        <f>IF(BA$10&gt;$U$2,"",$F$1)</f>
        <v>│</v>
      </c>
      <c r="BA105" s="21"/>
      <c r="BB105" s="65" t="str">
        <f>IF(BC$10&gt;$U$2,"",$G$1)</f>
        <v>│</v>
      </c>
      <c r="BC105" s="22"/>
      <c r="BD105" s="71"/>
      <c r="BE105" s="71"/>
      <c r="BF105" s="71"/>
      <c r="BG105" s="71"/>
      <c r="BH105" s="71"/>
      <c r="BI105" s="71"/>
      <c r="BJ105" s="71"/>
      <c r="BK105" s="71"/>
      <c r="BL105" s="71"/>
      <c r="BM105" s="71"/>
      <c r="BN105" s="71"/>
      <c r="BO105" s="71"/>
      <c r="BP105" s="71"/>
      <c r="BQ105" s="71"/>
      <c r="BR105" s="71"/>
      <c r="BS105" s="71"/>
      <c r="BT105" s="71"/>
      <c r="BU105" s="71"/>
      <c r="BV105" s="71"/>
      <c r="BW105" s="71"/>
      <c r="BX105" s="71"/>
      <c r="BY105" s="71"/>
      <c r="BZ105" s="71"/>
      <c r="CA105" s="71"/>
      <c r="CB105" s="71"/>
      <c r="CC105" s="71"/>
    </row>
    <row r="106" spans="2:81" x14ac:dyDescent="0.2">
      <c r="B106" s="23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  <c r="AQ106" s="21">
        <f>+IF(AQ$10&gt;$U$2,"",AO104/$Q$2)</f>
        <v>166.69197320614987</v>
      </c>
      <c r="AR106" s="21"/>
      <c r="AS106" s="21"/>
      <c r="AT106" s="21"/>
      <c r="AU106" s="21">
        <f>+IF(AU$10&gt;$U$2,"",AS108*$Q$2)</f>
        <v>166.69197320614984</v>
      </c>
      <c r="AV106" s="21"/>
      <c r="AW106" s="21"/>
      <c r="AX106" s="21"/>
      <c r="AY106" s="21">
        <f>+IF(AY$10&gt;$U$2,"",AW108*$Q$2)</f>
        <v>166.69197320614984</v>
      </c>
      <c r="AZ106" s="21"/>
      <c r="BA106" s="21"/>
      <c r="BB106" s="21"/>
      <c r="BC106" s="22">
        <f>+IF(BC$10&gt;$U$2,"",BA108*$Q$2)</f>
        <v>166.69197320614984</v>
      </c>
      <c r="BD106" s="71"/>
      <c r="BE106" s="71"/>
      <c r="BF106" s="71"/>
      <c r="BG106" s="71"/>
      <c r="BH106" s="71"/>
      <c r="BI106" s="71"/>
      <c r="BJ106" s="71"/>
      <c r="BK106" s="71"/>
      <c r="BL106" s="71"/>
      <c r="BM106" s="71"/>
      <c r="BN106" s="71"/>
      <c r="BO106" s="71"/>
      <c r="BP106" s="71"/>
      <c r="BQ106" s="71"/>
      <c r="BR106" s="71"/>
      <c r="BS106" s="71"/>
      <c r="BT106" s="71"/>
      <c r="BU106" s="71"/>
      <c r="BV106" s="71"/>
      <c r="BW106" s="71"/>
      <c r="BX106" s="71"/>
      <c r="BY106" s="71"/>
      <c r="BZ106" s="71"/>
      <c r="CA106" s="71"/>
      <c r="CB106" s="71"/>
      <c r="CC106" s="71"/>
    </row>
    <row r="107" spans="2:81" ht="14.25" x14ac:dyDescent="0.2">
      <c r="B107" s="23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21"/>
      <c r="AM107" s="21"/>
      <c r="AN107" s="21"/>
      <c r="AO107" s="21"/>
      <c r="AP107" s="21"/>
      <c r="AQ107" s="21"/>
      <c r="AR107" s="65" t="str">
        <f>IF(AS$10&gt;$U$2,"",$G$1)</f>
        <v>│</v>
      </c>
      <c r="AS107" s="21"/>
      <c r="AT107" s="25" t="str">
        <f>IF(AU$10&gt;$U$2,"",$F$1)</f>
        <v>│</v>
      </c>
      <c r="AU107" s="21"/>
      <c r="AV107" s="65" t="str">
        <f>IF(AW$10&gt;$U$2,"",$G$1)</f>
        <v>│</v>
      </c>
      <c r="AW107" s="21"/>
      <c r="AX107" s="25" t="str">
        <f>IF(AY$10&gt;$U$2,"",$F$1)</f>
        <v>│</v>
      </c>
      <c r="AY107" s="21"/>
      <c r="AZ107" s="65" t="str">
        <f>IF(BA$10&gt;$U$2,"",$G$1)</f>
        <v>│</v>
      </c>
      <c r="BA107" s="21"/>
      <c r="BB107" s="25" t="str">
        <f>IF(BC$10&gt;$U$2,"",$F$1)</f>
        <v>│</v>
      </c>
      <c r="BC107" s="22"/>
      <c r="BD107" s="71"/>
      <c r="BE107" s="71"/>
      <c r="BF107" s="71"/>
      <c r="BG107" s="71"/>
      <c r="BH107" s="71"/>
      <c r="BI107" s="71"/>
      <c r="BJ107" s="71"/>
      <c r="BK107" s="71"/>
      <c r="BL107" s="71"/>
      <c r="BM107" s="71"/>
      <c r="BN107" s="71"/>
      <c r="BO107" s="71"/>
      <c r="BP107" s="71"/>
      <c r="BQ107" s="71"/>
      <c r="BR107" s="71"/>
      <c r="BS107" s="71"/>
      <c r="BT107" s="71"/>
      <c r="BU107" s="71"/>
      <c r="BV107" s="71"/>
      <c r="BW107" s="71"/>
      <c r="BX107" s="71"/>
      <c r="BY107" s="71"/>
      <c r="BZ107" s="71"/>
      <c r="CA107" s="71"/>
      <c r="CB107" s="71"/>
      <c r="CC107" s="71"/>
    </row>
    <row r="108" spans="2:81" x14ac:dyDescent="0.2">
      <c r="B108" s="23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21"/>
      <c r="AM108" s="21"/>
      <c r="AN108" s="21"/>
      <c r="AO108" s="21"/>
      <c r="AP108" s="21"/>
      <c r="AQ108" s="21"/>
      <c r="AR108" s="21"/>
      <c r="AS108" s="21">
        <f>+IF(AS$10&gt;$U$2,"",AQ106/$Q$2)</f>
        <v>159.55389933128569</v>
      </c>
      <c r="AT108" s="21"/>
      <c r="AU108" s="21"/>
      <c r="AV108" s="21"/>
      <c r="AW108" s="21">
        <f>+IF(AW$10&gt;$U$2,"",AU110*$Q$2)</f>
        <v>159.55389933128569</v>
      </c>
      <c r="AX108" s="21"/>
      <c r="AY108" s="21"/>
      <c r="AZ108" s="21"/>
      <c r="BA108" s="21">
        <f>+IF(BA$10&gt;$U$2,"",AY110*$Q$2)</f>
        <v>159.55389933128569</v>
      </c>
      <c r="BB108" s="21"/>
      <c r="BC108" s="22"/>
      <c r="BD108" s="71"/>
      <c r="BE108" s="71"/>
      <c r="BF108" s="71"/>
      <c r="BG108" s="71"/>
      <c r="BH108" s="71"/>
      <c r="BI108" s="71"/>
      <c r="BJ108" s="71"/>
      <c r="BK108" s="71"/>
      <c r="BL108" s="71"/>
      <c r="BM108" s="71"/>
      <c r="BN108" s="71"/>
      <c r="BO108" s="71"/>
      <c r="BP108" s="71"/>
      <c r="BQ108" s="71"/>
      <c r="BR108" s="71"/>
      <c r="BS108" s="71"/>
      <c r="BT108" s="71"/>
      <c r="BU108" s="71"/>
      <c r="BV108" s="71"/>
      <c r="BW108" s="71"/>
      <c r="BX108" s="71"/>
      <c r="BY108" s="71"/>
      <c r="BZ108" s="71"/>
      <c r="CA108" s="71"/>
      <c r="CB108" s="71"/>
      <c r="CC108" s="71"/>
    </row>
    <row r="109" spans="2:81" ht="14.25" x14ac:dyDescent="0.2">
      <c r="B109" s="23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  <c r="AQ109" s="21"/>
      <c r="AR109" s="21"/>
      <c r="AS109" s="21"/>
      <c r="AT109" s="65" t="str">
        <f>IF(AU$10&gt;$U$2,"",$G$1)</f>
        <v>│</v>
      </c>
      <c r="AU109" s="21"/>
      <c r="AV109" s="25" t="str">
        <f>IF(AW$10&gt;$U$2,"",$F$1)</f>
        <v>│</v>
      </c>
      <c r="AW109" s="21"/>
      <c r="AX109" s="65" t="str">
        <f>IF(AY$10&gt;$U$2,"",$G$1)</f>
        <v>│</v>
      </c>
      <c r="AY109" s="21"/>
      <c r="AZ109" s="25" t="str">
        <f>IF(BA$10&gt;$U$2,"",$F$1)</f>
        <v>│</v>
      </c>
      <c r="BA109" s="21"/>
      <c r="BB109" s="65" t="str">
        <f>IF(BC$10&gt;$U$2,"",$G$1)</f>
        <v>│</v>
      </c>
      <c r="BC109" s="22"/>
      <c r="BD109" s="71"/>
      <c r="BE109" s="71"/>
      <c r="BF109" s="71"/>
      <c r="BG109" s="71"/>
      <c r="BH109" s="71"/>
      <c r="BI109" s="71"/>
      <c r="BJ109" s="71"/>
      <c r="BK109" s="71"/>
      <c r="BL109" s="71"/>
      <c r="BM109" s="71"/>
      <c r="BN109" s="71"/>
      <c r="BO109" s="71"/>
      <c r="BP109" s="71"/>
      <c r="BQ109" s="71"/>
      <c r="BR109" s="71"/>
      <c r="BS109" s="71"/>
      <c r="BT109" s="71"/>
      <c r="BU109" s="71"/>
      <c r="BV109" s="71"/>
      <c r="BW109" s="71"/>
      <c r="BX109" s="71"/>
      <c r="BY109" s="71"/>
      <c r="BZ109" s="71"/>
      <c r="CA109" s="71"/>
      <c r="CB109" s="71"/>
      <c r="CC109" s="71"/>
    </row>
    <row r="110" spans="2:81" x14ac:dyDescent="0.2">
      <c r="B110" s="23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>
        <f>+IF(AU$10&gt;$U$2,"",AS108/$Q$2)</f>
        <v>152.72149163616015</v>
      </c>
      <c r="AV110" s="21"/>
      <c r="AW110" s="21"/>
      <c r="AX110" s="21"/>
      <c r="AY110" s="21">
        <f>+IF(AY$10&gt;$U$2,"",AW112*$Q$2)</f>
        <v>152.72149163616015</v>
      </c>
      <c r="AZ110" s="21"/>
      <c r="BA110" s="21"/>
      <c r="BB110" s="21"/>
      <c r="BC110" s="22">
        <f>+IF(BC$10&gt;$U$2,"",BA112*$Q$2)</f>
        <v>152.72149163616015</v>
      </c>
      <c r="BD110" s="71"/>
      <c r="BE110" s="71"/>
      <c r="BF110" s="71"/>
      <c r="BG110" s="71"/>
      <c r="BH110" s="71"/>
      <c r="BI110" s="71"/>
      <c r="BJ110" s="71"/>
      <c r="BK110" s="71"/>
      <c r="BL110" s="71"/>
      <c r="BM110" s="71"/>
      <c r="BN110" s="71"/>
      <c r="BO110" s="71"/>
      <c r="BP110" s="71"/>
      <c r="BQ110" s="71"/>
      <c r="BR110" s="71"/>
      <c r="BS110" s="71"/>
      <c r="BT110" s="71"/>
      <c r="BU110" s="71"/>
      <c r="BV110" s="71"/>
      <c r="BW110" s="71"/>
      <c r="BX110" s="71"/>
      <c r="BY110" s="71"/>
      <c r="BZ110" s="71"/>
      <c r="CA110" s="71"/>
      <c r="CB110" s="71"/>
      <c r="CC110" s="71"/>
    </row>
    <row r="111" spans="2:81" ht="14.25" x14ac:dyDescent="0.2">
      <c r="B111" s="23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65" t="str">
        <f>IF(AW$10&gt;$U$2,"",$G$1)</f>
        <v>│</v>
      </c>
      <c r="AW111" s="21"/>
      <c r="AX111" s="25" t="str">
        <f>IF(AY$10&gt;$U$2,"",$F$1)</f>
        <v>│</v>
      </c>
      <c r="AY111" s="21"/>
      <c r="AZ111" s="65" t="str">
        <f>IF(BA$10&gt;$U$2,"",$G$1)</f>
        <v>│</v>
      </c>
      <c r="BA111" s="21"/>
      <c r="BB111" s="25" t="str">
        <f>IF(BC$10&gt;$U$2,"",$F$1)</f>
        <v>│</v>
      </c>
      <c r="BC111" s="22"/>
      <c r="BD111" s="71"/>
      <c r="BE111" s="71"/>
      <c r="BF111" s="71"/>
      <c r="BG111" s="71"/>
      <c r="BH111" s="71"/>
      <c r="BI111" s="71"/>
      <c r="BJ111" s="71"/>
      <c r="BK111" s="71"/>
      <c r="BL111" s="71"/>
      <c r="BM111" s="71"/>
      <c r="BN111" s="71"/>
      <c r="BO111" s="71"/>
      <c r="BP111" s="71"/>
      <c r="BQ111" s="71"/>
      <c r="BR111" s="71"/>
      <c r="BS111" s="71"/>
      <c r="BT111" s="71"/>
      <c r="BU111" s="71"/>
      <c r="BV111" s="71"/>
      <c r="BW111" s="71"/>
      <c r="BX111" s="71"/>
      <c r="BY111" s="71"/>
      <c r="BZ111" s="71"/>
      <c r="CA111" s="71"/>
      <c r="CB111" s="71"/>
      <c r="CC111" s="71"/>
    </row>
    <row r="112" spans="2:81" x14ac:dyDescent="0.2">
      <c r="B112" s="23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>
        <f>+IF(AW$10&gt;$U$2,"",AU110/$Q$2)</f>
        <v>146.18166090159818</v>
      </c>
      <c r="AX112" s="21"/>
      <c r="AY112" s="21"/>
      <c r="AZ112" s="21"/>
      <c r="BA112" s="21">
        <f>+IF(BA$10&gt;$U$2,"",AY114*$Q$2)</f>
        <v>146.18166090159818</v>
      </c>
      <c r="BB112" s="21"/>
      <c r="BC112" s="22"/>
      <c r="BD112" s="71"/>
      <c r="BE112" s="71"/>
      <c r="BF112" s="71"/>
      <c r="BG112" s="71"/>
      <c r="BH112" s="71"/>
      <c r="BI112" s="71"/>
      <c r="BJ112" s="71"/>
      <c r="BK112" s="71"/>
      <c r="BL112" s="71"/>
      <c r="BM112" s="71"/>
      <c r="BN112" s="71"/>
      <c r="BO112" s="71"/>
      <c r="BP112" s="71"/>
      <c r="BQ112" s="71"/>
      <c r="BR112" s="71"/>
      <c r="BS112" s="71"/>
      <c r="BT112" s="71"/>
      <c r="BU112" s="71"/>
      <c r="BV112" s="71"/>
      <c r="BW112" s="71"/>
      <c r="BX112" s="71"/>
      <c r="BY112" s="71"/>
      <c r="BZ112" s="71"/>
      <c r="CA112" s="71"/>
      <c r="CB112" s="71"/>
      <c r="CC112" s="71"/>
    </row>
    <row r="113" spans="2:81" ht="14.25" x14ac:dyDescent="0.2">
      <c r="B113" s="23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65" t="str">
        <f>IF(AY$10&gt;$U$2,"",$G$1)</f>
        <v>│</v>
      </c>
      <c r="AY113" s="21"/>
      <c r="AZ113" s="25" t="str">
        <f>IF(BA$10&gt;$U$2,"",$F$1)</f>
        <v>│</v>
      </c>
      <c r="BA113" s="21"/>
      <c r="BB113" s="65" t="str">
        <f>IF(BC$10&gt;$U$2,"",$G$1)</f>
        <v>│</v>
      </c>
      <c r="BC113" s="22"/>
      <c r="BD113" s="71"/>
      <c r="BE113" s="71"/>
      <c r="BF113" s="71"/>
      <c r="BG113" s="71"/>
      <c r="BH113" s="71"/>
      <c r="BI113" s="71"/>
      <c r="BJ113" s="71"/>
      <c r="BK113" s="71"/>
      <c r="BL113" s="71"/>
      <c r="BM113" s="71"/>
      <c r="BN113" s="71"/>
      <c r="BO113" s="71"/>
      <c r="BP113" s="71"/>
      <c r="BQ113" s="71"/>
      <c r="BR113" s="71"/>
      <c r="BS113" s="71"/>
      <c r="BT113" s="71"/>
      <c r="BU113" s="71"/>
      <c r="BV113" s="71"/>
      <c r="BW113" s="71"/>
      <c r="BX113" s="71"/>
      <c r="BY113" s="71"/>
      <c r="BZ113" s="71"/>
      <c r="CA113" s="71"/>
      <c r="CB113" s="71"/>
      <c r="CC113" s="71"/>
    </row>
    <row r="114" spans="2:81" x14ac:dyDescent="0.2">
      <c r="B114" s="23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>
        <f>+IF(AY$10&gt;$U$2,"",AW112/$Q$2)</f>
        <v>139.92187841419852</v>
      </c>
      <c r="AZ114" s="21"/>
      <c r="BA114" s="21"/>
      <c r="BB114" s="21"/>
      <c r="BC114" s="22">
        <f>+IF(BC$10&gt;$U$2,"",BA116*$Q$2)</f>
        <v>139.92187841419852</v>
      </c>
      <c r="BD114" s="71"/>
      <c r="BE114" s="71"/>
      <c r="BF114" s="71"/>
      <c r="BG114" s="71"/>
      <c r="BH114" s="71"/>
      <c r="BI114" s="71"/>
      <c r="BJ114" s="71"/>
      <c r="BK114" s="71"/>
      <c r="BL114" s="71"/>
      <c r="BM114" s="71"/>
      <c r="BN114" s="71"/>
      <c r="BO114" s="71"/>
      <c r="BP114" s="71"/>
      <c r="BQ114" s="71"/>
      <c r="BR114" s="71"/>
      <c r="BS114" s="71"/>
      <c r="BT114" s="71"/>
      <c r="BU114" s="71"/>
      <c r="BV114" s="71"/>
      <c r="BW114" s="71"/>
      <c r="BX114" s="71"/>
      <c r="BY114" s="71"/>
      <c r="BZ114" s="71"/>
      <c r="CA114" s="71"/>
      <c r="CB114" s="71"/>
      <c r="CC114" s="71"/>
    </row>
    <row r="115" spans="2:81" ht="14.25" x14ac:dyDescent="0.2">
      <c r="B115" s="23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65" t="str">
        <f>IF(BA$10&gt;$U$2,"",$G$1)</f>
        <v>│</v>
      </c>
      <c r="BA115" s="21"/>
      <c r="BB115" s="25" t="str">
        <f>IF(BC$10&gt;$U$2,"",$F$1)</f>
        <v>│</v>
      </c>
      <c r="BC115" s="22"/>
      <c r="BD115" s="71"/>
      <c r="BE115" s="71"/>
      <c r="BF115" s="71"/>
      <c r="BG115" s="71"/>
      <c r="BH115" s="71"/>
      <c r="BI115" s="71"/>
      <c r="BJ115" s="71"/>
      <c r="BK115" s="71"/>
      <c r="BL115" s="71"/>
      <c r="BM115" s="71"/>
      <c r="BN115" s="71"/>
      <c r="BO115" s="71"/>
      <c r="BP115" s="71"/>
      <c r="BQ115" s="71"/>
      <c r="BR115" s="71"/>
      <c r="BS115" s="71"/>
      <c r="BT115" s="71"/>
      <c r="BU115" s="71"/>
      <c r="BV115" s="71"/>
      <c r="BW115" s="71"/>
      <c r="BX115" s="71"/>
      <c r="BY115" s="71"/>
      <c r="BZ115" s="71"/>
      <c r="CA115" s="71"/>
      <c r="CB115" s="71"/>
      <c r="CC115" s="71"/>
    </row>
    <row r="116" spans="2:81" x14ac:dyDescent="0.2">
      <c r="B116" s="23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>
        <f>+IF(BA$10&gt;$U$2,"",AY114/$Q$2)</f>
        <v>133.9301519643885</v>
      </c>
      <c r="BB116" s="21"/>
      <c r="BC116" s="22"/>
      <c r="BD116" s="71"/>
      <c r="BE116" s="71"/>
      <c r="BF116" s="71"/>
      <c r="BG116" s="71"/>
      <c r="BH116" s="71"/>
      <c r="BI116" s="71"/>
      <c r="BJ116" s="71"/>
      <c r="BK116" s="71"/>
      <c r="BL116" s="71"/>
      <c r="BM116" s="71"/>
      <c r="BN116" s="71"/>
      <c r="BO116" s="71"/>
      <c r="BP116" s="71"/>
      <c r="BQ116" s="71"/>
      <c r="BR116" s="71"/>
      <c r="BS116" s="71"/>
      <c r="BT116" s="71"/>
      <c r="BU116" s="71"/>
      <c r="BV116" s="71"/>
      <c r="BW116" s="71"/>
      <c r="BX116" s="71"/>
      <c r="BY116" s="71"/>
      <c r="BZ116" s="71"/>
      <c r="CA116" s="71"/>
      <c r="CB116" s="71"/>
      <c r="CC116" s="71"/>
    </row>
    <row r="117" spans="2:81" ht="14.25" x14ac:dyDescent="0.2">
      <c r="B117" s="23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65" t="str">
        <f>IF(BC$10&gt;$U$2,"",$G$1)</f>
        <v>│</v>
      </c>
      <c r="BC117" s="22"/>
      <c r="BD117" s="71"/>
      <c r="BE117" s="71"/>
      <c r="BF117" s="71"/>
      <c r="BG117" s="71"/>
      <c r="BH117" s="71"/>
      <c r="BI117" s="71"/>
      <c r="BJ117" s="71"/>
      <c r="BK117" s="71"/>
      <c r="BL117" s="71"/>
      <c r="BM117" s="71"/>
      <c r="BN117" s="71"/>
      <c r="BO117" s="71"/>
      <c r="BP117" s="71"/>
      <c r="BQ117" s="71"/>
      <c r="BR117" s="71"/>
      <c r="BS117" s="71"/>
      <c r="BT117" s="71"/>
      <c r="BU117" s="71"/>
      <c r="BV117" s="71"/>
      <c r="BW117" s="71"/>
      <c r="BX117" s="71"/>
      <c r="BY117" s="71"/>
      <c r="BZ117" s="71"/>
      <c r="CA117" s="71"/>
      <c r="CB117" s="71"/>
      <c r="CC117" s="71"/>
    </row>
    <row r="118" spans="2:81" x14ac:dyDescent="0.2">
      <c r="B118" s="32"/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F118" s="36"/>
      <c r="AG118" s="36"/>
      <c r="AH118" s="36"/>
      <c r="AI118" s="36"/>
      <c r="AJ118" s="36"/>
      <c r="AK118" s="36"/>
      <c r="AL118" s="36"/>
      <c r="AM118" s="36"/>
      <c r="AN118" s="36"/>
      <c r="AO118" s="36"/>
      <c r="AP118" s="36"/>
      <c r="AQ118" s="36"/>
      <c r="AR118" s="36"/>
      <c r="AS118" s="36"/>
      <c r="AT118" s="36"/>
      <c r="AU118" s="36"/>
      <c r="AV118" s="36"/>
      <c r="AW118" s="36"/>
      <c r="AX118" s="36"/>
      <c r="AY118" s="36"/>
      <c r="AZ118" s="36"/>
      <c r="BA118" s="36"/>
      <c r="BB118" s="36"/>
      <c r="BC118" s="37">
        <f>+IF(BC$10&gt;$U$2,"",BA116/$Q$2)</f>
        <v>128.19500287228863</v>
      </c>
      <c r="BD118" s="71"/>
      <c r="BE118" s="71"/>
      <c r="BF118" s="71"/>
      <c r="BG118" s="71"/>
      <c r="BH118" s="71"/>
      <c r="BI118" s="71"/>
      <c r="BJ118" s="71"/>
      <c r="BK118" s="71"/>
      <c r="BL118" s="71"/>
      <c r="BM118" s="71"/>
      <c r="BN118" s="71"/>
      <c r="BO118" s="71"/>
      <c r="BP118" s="71"/>
      <c r="BQ118" s="71"/>
      <c r="BR118" s="71"/>
      <c r="BS118" s="71"/>
      <c r="BT118" s="71"/>
      <c r="BU118" s="71"/>
      <c r="BV118" s="71"/>
      <c r="BW118" s="71"/>
      <c r="BX118" s="71"/>
      <c r="BY118" s="71"/>
      <c r="BZ118" s="71"/>
      <c r="CA118" s="71"/>
      <c r="CB118" s="71"/>
      <c r="CC118" s="71"/>
    </row>
    <row r="119" spans="2:81" x14ac:dyDescent="0.2">
      <c r="B119" s="71"/>
      <c r="C119" s="71"/>
      <c r="D119" s="71"/>
      <c r="E119" s="71"/>
      <c r="F119" s="71"/>
      <c r="G119" s="71"/>
      <c r="H119" s="71"/>
      <c r="I119" s="71"/>
      <c r="J119" s="71"/>
      <c r="K119" s="71"/>
      <c r="L119" s="71"/>
      <c r="M119" s="71"/>
      <c r="N119" s="71"/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71"/>
      <c r="Z119" s="71"/>
      <c r="AA119" s="71"/>
      <c r="AB119" s="71"/>
      <c r="AC119" s="71"/>
      <c r="AD119" s="71"/>
      <c r="AE119" s="71"/>
      <c r="AF119" s="71"/>
      <c r="AG119" s="71"/>
      <c r="AH119" s="71"/>
      <c r="AI119" s="71"/>
      <c r="AJ119" s="71"/>
      <c r="AK119" s="71"/>
      <c r="AL119" s="71"/>
      <c r="AM119" s="71"/>
      <c r="AN119" s="71"/>
      <c r="AO119" s="71"/>
      <c r="AP119" s="71"/>
      <c r="AQ119" s="71"/>
      <c r="AR119" s="71"/>
      <c r="AS119" s="71"/>
      <c r="AT119" s="71"/>
      <c r="AU119" s="71"/>
      <c r="AV119" s="71"/>
      <c r="AW119" s="71"/>
      <c r="AX119" s="71"/>
      <c r="AY119" s="71"/>
      <c r="AZ119" s="71"/>
      <c r="BA119" s="71"/>
      <c r="BB119" s="71"/>
      <c r="BC119" s="71"/>
      <c r="BD119" s="71" t="str">
        <f>+IF(BD$10&gt;$U$2,"",BC118/$Q$2)</f>
        <v/>
      </c>
      <c r="BE119" s="71"/>
      <c r="BF119" s="71"/>
      <c r="BG119" s="71"/>
      <c r="BH119" s="71"/>
      <c r="BI119" s="71"/>
      <c r="BJ119" s="71"/>
      <c r="BK119" s="71"/>
      <c r="BL119" s="71"/>
      <c r="BM119" s="71"/>
      <c r="BN119" s="71"/>
      <c r="BO119" s="71"/>
      <c r="BP119" s="71"/>
      <c r="BQ119" s="71"/>
      <c r="BR119" s="71"/>
      <c r="BS119" s="71"/>
      <c r="BT119" s="71"/>
      <c r="BU119" s="71"/>
      <c r="BV119" s="71"/>
      <c r="BW119" s="71"/>
      <c r="BX119" s="71"/>
      <c r="BY119" s="71"/>
      <c r="BZ119" s="71"/>
      <c r="CA119" s="71"/>
      <c r="CB119" s="71"/>
      <c r="CC119" s="71"/>
    </row>
    <row r="120" spans="2:81" x14ac:dyDescent="0.2">
      <c r="B120" s="71"/>
      <c r="C120" s="71"/>
      <c r="D120" s="71"/>
      <c r="E120" s="71"/>
      <c r="F120" s="71"/>
      <c r="G120" s="71"/>
      <c r="H120" s="71"/>
      <c r="I120" s="71"/>
      <c r="J120" s="71"/>
      <c r="K120" s="71"/>
      <c r="L120" s="71"/>
      <c r="M120" s="71"/>
      <c r="N120" s="71"/>
      <c r="O120" s="71"/>
      <c r="P120" s="71"/>
      <c r="Q120" s="71"/>
      <c r="R120" s="71"/>
      <c r="S120" s="71"/>
      <c r="T120" s="71"/>
      <c r="U120" s="71"/>
      <c r="V120" s="71"/>
      <c r="W120" s="71"/>
      <c r="X120" s="71"/>
      <c r="Y120" s="71"/>
      <c r="Z120" s="71"/>
      <c r="AA120" s="71"/>
      <c r="AB120" s="71"/>
      <c r="AC120" s="71"/>
      <c r="AD120" s="71"/>
      <c r="AE120" s="71"/>
      <c r="AF120" s="71"/>
      <c r="AG120" s="71"/>
      <c r="AH120" s="71"/>
      <c r="AI120" s="71"/>
      <c r="AJ120" s="71"/>
      <c r="AK120" s="71"/>
      <c r="AL120" s="71"/>
      <c r="AM120" s="71"/>
      <c r="AN120" s="71"/>
      <c r="AO120" s="71"/>
      <c r="AP120" s="71"/>
      <c r="AQ120" s="71"/>
      <c r="AR120" s="71"/>
      <c r="AS120" s="71"/>
      <c r="AT120" s="71"/>
      <c r="AU120" s="71"/>
      <c r="AV120" s="71"/>
      <c r="AW120" s="71"/>
      <c r="AX120" s="71"/>
      <c r="AY120" s="71"/>
      <c r="AZ120" s="71"/>
      <c r="BA120" s="71"/>
      <c r="BB120" s="71"/>
      <c r="BC120" s="71"/>
      <c r="BD120" s="71"/>
      <c r="BE120" s="71" t="str">
        <f>+IF(BE$10&gt;$U$2,"",BD119/$Q$2)</f>
        <v/>
      </c>
      <c r="BF120" s="71"/>
      <c r="BG120" s="71"/>
      <c r="BH120" s="71"/>
      <c r="BI120" s="71"/>
      <c r="BJ120" s="71"/>
      <c r="BK120" s="71"/>
      <c r="BL120" s="71"/>
      <c r="BM120" s="71"/>
      <c r="BN120" s="71"/>
      <c r="BO120" s="71"/>
      <c r="BP120" s="71"/>
      <c r="BQ120" s="71"/>
      <c r="BR120" s="71"/>
      <c r="BS120" s="71"/>
      <c r="BT120" s="71"/>
      <c r="BU120" s="71"/>
      <c r="BV120" s="71"/>
      <c r="BW120" s="71"/>
      <c r="BX120" s="71"/>
      <c r="BY120" s="71"/>
      <c r="BZ120" s="71"/>
      <c r="CA120" s="71"/>
      <c r="CB120" s="71"/>
      <c r="CC120" s="71"/>
    </row>
    <row r="121" spans="2:81" x14ac:dyDescent="0.2">
      <c r="B121" s="71"/>
      <c r="C121" s="71"/>
      <c r="D121" s="71"/>
      <c r="E121" s="71"/>
      <c r="F121" s="71"/>
      <c r="G121" s="71"/>
      <c r="H121" s="71"/>
      <c r="I121" s="71"/>
      <c r="J121" s="71"/>
      <c r="K121" s="71"/>
      <c r="L121" s="71"/>
      <c r="M121" s="71"/>
      <c r="N121" s="71"/>
      <c r="O121" s="71"/>
      <c r="P121" s="71"/>
      <c r="Q121" s="71"/>
      <c r="R121" s="71"/>
      <c r="S121" s="71"/>
      <c r="T121" s="71"/>
      <c r="U121" s="71"/>
      <c r="V121" s="71"/>
      <c r="W121" s="71"/>
      <c r="X121" s="71"/>
      <c r="Y121" s="71"/>
      <c r="Z121" s="71"/>
      <c r="AA121" s="71"/>
      <c r="AB121" s="71"/>
      <c r="AC121" s="71"/>
      <c r="AD121" s="71"/>
      <c r="AE121" s="71"/>
      <c r="AF121" s="71"/>
      <c r="AG121" s="71"/>
      <c r="AH121" s="71"/>
      <c r="AI121" s="71"/>
      <c r="AJ121" s="71"/>
      <c r="AK121" s="71"/>
      <c r="AL121" s="71"/>
      <c r="AM121" s="71"/>
      <c r="AN121" s="71"/>
      <c r="AO121" s="71"/>
      <c r="AP121" s="71"/>
      <c r="AQ121" s="71"/>
      <c r="AR121" s="71"/>
      <c r="AS121" s="71"/>
      <c r="AT121" s="71"/>
      <c r="AU121" s="71"/>
      <c r="AV121" s="71"/>
      <c r="AW121" s="71"/>
      <c r="AX121" s="71"/>
      <c r="AY121" s="71"/>
      <c r="AZ121" s="71"/>
      <c r="BA121" s="71"/>
      <c r="BB121" s="71"/>
      <c r="BC121" s="71"/>
      <c r="BD121" s="71"/>
      <c r="BE121" s="71"/>
      <c r="BF121" s="71" t="str">
        <f>+IF(BF$10&gt;$U$2,"",BE120/$Q$2)</f>
        <v/>
      </c>
      <c r="BG121" s="71"/>
      <c r="BH121" s="71"/>
      <c r="BI121" s="71"/>
      <c r="BJ121" s="71"/>
      <c r="BK121" s="71"/>
      <c r="BL121" s="71"/>
      <c r="BM121" s="71"/>
      <c r="BN121" s="71"/>
      <c r="BO121" s="71"/>
      <c r="BP121" s="71"/>
      <c r="BQ121" s="71"/>
      <c r="BR121" s="71"/>
      <c r="BS121" s="71"/>
      <c r="BT121" s="71"/>
      <c r="BU121" s="71"/>
      <c r="BV121" s="71"/>
      <c r="BW121" s="71"/>
      <c r="BX121" s="71"/>
      <c r="BY121" s="71"/>
      <c r="BZ121" s="71"/>
      <c r="CA121" s="71"/>
      <c r="CB121" s="71"/>
      <c r="CC121" s="71"/>
    </row>
    <row r="122" spans="2:81" x14ac:dyDescent="0.2">
      <c r="B122" s="71"/>
      <c r="C122" s="71"/>
      <c r="D122" s="71"/>
      <c r="E122" s="71"/>
      <c r="F122" s="71"/>
      <c r="G122" s="71"/>
      <c r="H122" s="71"/>
      <c r="I122" s="71"/>
      <c r="J122" s="71"/>
      <c r="K122" s="71"/>
      <c r="L122" s="71"/>
      <c r="M122" s="71"/>
      <c r="N122" s="71"/>
      <c r="O122" s="71"/>
      <c r="P122" s="71"/>
      <c r="Q122" s="71"/>
      <c r="R122" s="71"/>
      <c r="S122" s="71"/>
      <c r="T122" s="71"/>
      <c r="U122" s="71"/>
      <c r="V122" s="71"/>
      <c r="W122" s="71"/>
      <c r="X122" s="71"/>
      <c r="Y122" s="71"/>
      <c r="Z122" s="71"/>
      <c r="AA122" s="71"/>
      <c r="AB122" s="71"/>
      <c r="AC122" s="71"/>
      <c r="AD122" s="71"/>
      <c r="AE122" s="71"/>
      <c r="AF122" s="71"/>
      <c r="AG122" s="71"/>
      <c r="AH122" s="71"/>
      <c r="AI122" s="71"/>
      <c r="AJ122" s="71"/>
      <c r="AK122" s="71"/>
      <c r="AL122" s="71"/>
      <c r="AM122" s="71"/>
      <c r="AN122" s="71"/>
      <c r="AO122" s="71"/>
      <c r="AP122" s="71"/>
      <c r="AQ122" s="71"/>
      <c r="AR122" s="71"/>
      <c r="AS122" s="71"/>
      <c r="AT122" s="71"/>
      <c r="AU122" s="71"/>
      <c r="AV122" s="71"/>
      <c r="AW122" s="71"/>
      <c r="AX122" s="71"/>
      <c r="AY122" s="71"/>
      <c r="AZ122" s="71"/>
      <c r="BA122" s="71"/>
      <c r="BB122" s="71"/>
      <c r="BC122" s="71"/>
      <c r="BD122" s="71"/>
      <c r="BE122" s="71"/>
      <c r="BF122" s="71"/>
      <c r="BG122" s="71" t="str">
        <f>+IF(BG$10&gt;$U$2,"",BF121/$Q$2)</f>
        <v/>
      </c>
      <c r="BH122" s="71"/>
      <c r="BI122" s="71"/>
      <c r="BJ122" s="71"/>
      <c r="BK122" s="71"/>
      <c r="BL122" s="71"/>
      <c r="BM122" s="71"/>
      <c r="BN122" s="71"/>
      <c r="BO122" s="71"/>
      <c r="BP122" s="71"/>
      <c r="BQ122" s="71"/>
      <c r="BR122" s="71"/>
      <c r="BS122" s="71"/>
      <c r="BT122" s="71"/>
      <c r="BU122" s="71"/>
      <c r="BV122" s="71"/>
      <c r="BW122" s="71"/>
      <c r="BX122" s="71"/>
      <c r="BY122" s="71"/>
      <c r="BZ122" s="71"/>
      <c r="CA122" s="71"/>
      <c r="CB122" s="71"/>
      <c r="CC122" s="71"/>
    </row>
    <row r="123" spans="2:81" x14ac:dyDescent="0.2">
      <c r="B123" s="71"/>
      <c r="C123" s="71"/>
      <c r="D123" s="71"/>
      <c r="E123" s="71"/>
      <c r="F123" s="71"/>
      <c r="G123" s="71"/>
      <c r="H123" s="71"/>
      <c r="I123" s="71"/>
      <c r="J123" s="71"/>
      <c r="K123" s="71"/>
      <c r="L123" s="71"/>
      <c r="M123" s="71"/>
      <c r="N123" s="71"/>
      <c r="O123" s="71"/>
      <c r="P123" s="71"/>
      <c r="Q123" s="71"/>
      <c r="R123" s="71"/>
      <c r="S123" s="71"/>
      <c r="T123" s="71"/>
      <c r="U123" s="71"/>
      <c r="V123" s="71"/>
      <c r="W123" s="71"/>
      <c r="X123" s="71"/>
      <c r="Y123" s="71"/>
      <c r="Z123" s="71"/>
      <c r="AA123" s="71"/>
      <c r="AB123" s="71"/>
      <c r="AC123" s="71"/>
      <c r="AD123" s="71"/>
      <c r="AE123" s="71"/>
      <c r="AF123" s="71"/>
      <c r="AG123" s="71"/>
      <c r="AH123" s="71"/>
      <c r="AI123" s="71"/>
      <c r="AJ123" s="71"/>
      <c r="AK123" s="71"/>
      <c r="AL123" s="71"/>
      <c r="AM123" s="71"/>
      <c r="AN123" s="71"/>
      <c r="AO123" s="71"/>
      <c r="AP123" s="71"/>
      <c r="AQ123" s="71"/>
      <c r="AR123" s="71"/>
      <c r="AS123" s="71"/>
      <c r="AT123" s="71"/>
      <c r="AU123" s="71"/>
      <c r="AV123" s="71"/>
      <c r="AW123" s="71"/>
      <c r="AX123" s="71"/>
      <c r="AY123" s="71"/>
      <c r="AZ123" s="71"/>
      <c r="BA123" s="71"/>
      <c r="BB123" s="71"/>
      <c r="BC123" s="71"/>
      <c r="BD123" s="71"/>
      <c r="BE123" s="71"/>
      <c r="BF123" s="71"/>
      <c r="BG123" s="71"/>
      <c r="BH123" s="71" t="str">
        <f>+IF(BH$10&gt;$U$2,"",BG122/$Q$2)</f>
        <v/>
      </c>
      <c r="BI123" s="71"/>
      <c r="BJ123" s="71"/>
      <c r="BK123" s="71"/>
      <c r="BL123" s="71"/>
      <c r="BM123" s="71"/>
      <c r="BN123" s="71"/>
      <c r="BO123" s="71"/>
      <c r="BP123" s="71"/>
      <c r="BQ123" s="71"/>
      <c r="BR123" s="71"/>
      <c r="BS123" s="71"/>
      <c r="BT123" s="71"/>
      <c r="BU123" s="71"/>
      <c r="BV123" s="71"/>
      <c r="BW123" s="71"/>
      <c r="BX123" s="71"/>
      <c r="BY123" s="71"/>
      <c r="BZ123" s="71"/>
      <c r="CA123" s="71"/>
      <c r="CB123" s="71"/>
      <c r="CC123" s="71"/>
    </row>
    <row r="124" spans="2:81" x14ac:dyDescent="0.2">
      <c r="B124" s="71"/>
      <c r="C124" s="71"/>
      <c r="D124" s="71"/>
      <c r="E124" s="71"/>
      <c r="F124" s="71"/>
      <c r="G124" s="71"/>
      <c r="H124" s="71"/>
      <c r="I124" s="71"/>
      <c r="J124" s="71"/>
      <c r="K124" s="71"/>
      <c r="L124" s="71"/>
      <c r="M124" s="71"/>
      <c r="N124" s="71"/>
      <c r="O124" s="71"/>
      <c r="P124" s="71"/>
      <c r="Q124" s="71"/>
      <c r="R124" s="71"/>
      <c r="S124" s="71"/>
      <c r="T124" s="71"/>
      <c r="U124" s="71"/>
      <c r="V124" s="71"/>
      <c r="W124" s="71"/>
      <c r="X124" s="71"/>
      <c r="Y124" s="71"/>
      <c r="Z124" s="71"/>
      <c r="AA124" s="71"/>
      <c r="AB124" s="71"/>
      <c r="AC124" s="71"/>
      <c r="AD124" s="71"/>
      <c r="AE124" s="71"/>
      <c r="AF124" s="71"/>
      <c r="AG124" s="71"/>
      <c r="AH124" s="71"/>
      <c r="AI124" s="71"/>
      <c r="AJ124" s="71"/>
      <c r="AK124" s="71"/>
      <c r="AL124" s="71"/>
      <c r="AM124" s="71"/>
      <c r="AN124" s="71"/>
      <c r="AO124" s="71"/>
      <c r="AP124" s="71"/>
      <c r="AQ124" s="71"/>
      <c r="AR124" s="71"/>
      <c r="AS124" s="71"/>
      <c r="AT124" s="71"/>
      <c r="AU124" s="71"/>
      <c r="AV124" s="71"/>
      <c r="AW124" s="71"/>
      <c r="AX124" s="71"/>
      <c r="AY124" s="71"/>
      <c r="AZ124" s="71"/>
      <c r="BA124" s="71"/>
      <c r="BB124" s="71"/>
      <c r="BC124" s="71"/>
      <c r="BD124" s="71"/>
      <c r="BE124" s="71"/>
      <c r="BF124" s="71"/>
      <c r="BG124" s="71"/>
      <c r="BH124" s="71"/>
      <c r="BI124" s="71" t="str">
        <f>+IF(BI$10&gt;$U$2,"",BH123/$Q$2)</f>
        <v/>
      </c>
      <c r="BJ124" s="71"/>
      <c r="BK124" s="71"/>
      <c r="BL124" s="71"/>
      <c r="BM124" s="71"/>
      <c r="BN124" s="71"/>
      <c r="BO124" s="71"/>
      <c r="BP124" s="71"/>
      <c r="BQ124" s="71"/>
      <c r="BR124" s="71"/>
      <c r="BS124" s="71"/>
      <c r="BT124" s="71"/>
      <c r="BU124" s="71"/>
      <c r="BV124" s="71"/>
      <c r="BW124" s="71"/>
      <c r="BX124" s="71"/>
      <c r="BY124" s="71"/>
      <c r="BZ124" s="71"/>
      <c r="CA124" s="71"/>
      <c r="CB124" s="71"/>
      <c r="CC124" s="71"/>
    </row>
    <row r="125" spans="2:81" x14ac:dyDescent="0.2">
      <c r="B125" s="71"/>
      <c r="C125" s="71"/>
      <c r="D125" s="71"/>
      <c r="E125" s="71"/>
      <c r="F125" s="71"/>
      <c r="G125" s="71"/>
      <c r="H125" s="71"/>
      <c r="I125" s="71"/>
      <c r="J125" s="71"/>
      <c r="K125" s="71"/>
      <c r="L125" s="71"/>
      <c r="M125" s="71"/>
      <c r="N125" s="71"/>
      <c r="O125" s="71"/>
      <c r="P125" s="71"/>
      <c r="Q125" s="71"/>
      <c r="R125" s="71"/>
      <c r="S125" s="71"/>
      <c r="T125" s="71"/>
      <c r="U125" s="71"/>
      <c r="V125" s="71"/>
      <c r="W125" s="71"/>
      <c r="X125" s="71"/>
      <c r="Y125" s="71"/>
      <c r="Z125" s="71"/>
      <c r="AA125" s="71"/>
      <c r="AB125" s="71"/>
      <c r="AC125" s="71"/>
      <c r="AD125" s="71"/>
      <c r="AE125" s="71"/>
      <c r="AF125" s="71"/>
      <c r="AG125" s="71"/>
      <c r="AH125" s="71"/>
      <c r="AI125" s="71"/>
      <c r="AJ125" s="71"/>
      <c r="AK125" s="71"/>
      <c r="AL125" s="71"/>
      <c r="AM125" s="71"/>
      <c r="AN125" s="71"/>
      <c r="AO125" s="71"/>
      <c r="AP125" s="71"/>
      <c r="AQ125" s="71"/>
      <c r="AR125" s="71"/>
      <c r="AS125" s="71"/>
      <c r="AT125" s="71"/>
      <c r="AU125" s="71"/>
      <c r="AV125" s="71"/>
      <c r="AW125" s="71"/>
      <c r="AX125" s="71"/>
      <c r="AY125" s="71"/>
      <c r="AZ125" s="71"/>
      <c r="BA125" s="71"/>
      <c r="BB125" s="71"/>
      <c r="BC125" s="71"/>
      <c r="BD125" s="71"/>
      <c r="BE125" s="71"/>
      <c r="BF125" s="71"/>
      <c r="BG125" s="71"/>
      <c r="BH125" s="71"/>
      <c r="BI125" s="71"/>
      <c r="BJ125" s="71" t="str">
        <f>+IF(BJ$10&gt;$U$2,"",BI124/$Q$2)</f>
        <v/>
      </c>
      <c r="BK125" s="71"/>
      <c r="BL125" s="71"/>
      <c r="BM125" s="71"/>
      <c r="BN125" s="71"/>
      <c r="BO125" s="71"/>
      <c r="BP125" s="71"/>
      <c r="BQ125" s="71"/>
      <c r="BR125" s="71"/>
      <c r="BS125" s="71"/>
      <c r="BT125" s="71"/>
      <c r="BU125" s="71"/>
      <c r="BV125" s="71"/>
      <c r="BW125" s="71"/>
      <c r="BX125" s="71"/>
      <c r="BY125" s="71"/>
      <c r="BZ125" s="71"/>
      <c r="CA125" s="71"/>
      <c r="CB125" s="71"/>
      <c r="CC125" s="71"/>
    </row>
    <row r="126" spans="2:81" x14ac:dyDescent="0.2">
      <c r="B126" s="71"/>
      <c r="C126" s="71"/>
      <c r="D126" s="71"/>
      <c r="E126" s="71"/>
      <c r="F126" s="71"/>
      <c r="G126" s="71"/>
      <c r="H126" s="71"/>
      <c r="I126" s="71"/>
      <c r="J126" s="71"/>
      <c r="K126" s="71"/>
      <c r="L126" s="71"/>
      <c r="M126" s="71"/>
      <c r="N126" s="71"/>
      <c r="O126" s="71"/>
      <c r="P126" s="71"/>
      <c r="Q126" s="71"/>
      <c r="R126" s="71"/>
      <c r="S126" s="71"/>
      <c r="T126" s="71"/>
      <c r="U126" s="71"/>
      <c r="V126" s="71"/>
      <c r="W126" s="71"/>
      <c r="X126" s="71"/>
      <c r="Y126" s="71"/>
      <c r="Z126" s="71"/>
      <c r="AA126" s="71"/>
      <c r="AB126" s="71"/>
      <c r="AC126" s="71"/>
      <c r="AD126" s="71"/>
      <c r="AE126" s="71"/>
      <c r="AF126" s="71"/>
      <c r="AG126" s="71"/>
      <c r="AH126" s="71"/>
      <c r="AI126" s="71"/>
      <c r="AJ126" s="71"/>
      <c r="AK126" s="71"/>
      <c r="AL126" s="71"/>
      <c r="AM126" s="71"/>
      <c r="AN126" s="71"/>
      <c r="AO126" s="71"/>
      <c r="AP126" s="71"/>
      <c r="AQ126" s="71"/>
      <c r="AR126" s="71"/>
      <c r="AS126" s="71"/>
      <c r="AT126" s="71"/>
      <c r="AU126" s="71"/>
      <c r="AV126" s="71"/>
      <c r="AW126" s="71"/>
      <c r="AX126" s="71"/>
      <c r="AY126" s="71"/>
      <c r="AZ126" s="71"/>
      <c r="BA126" s="71"/>
      <c r="BB126" s="71"/>
      <c r="BC126" s="71"/>
      <c r="BD126" s="71"/>
      <c r="BE126" s="71"/>
      <c r="BF126" s="71"/>
      <c r="BG126" s="71"/>
      <c r="BH126" s="71"/>
      <c r="BI126" s="71"/>
      <c r="BJ126" s="71"/>
      <c r="BK126" s="71" t="str">
        <f>+IF(BK$10&gt;$U$2,"",BJ125/$Q$2)</f>
        <v/>
      </c>
      <c r="BL126" s="71"/>
      <c r="BM126" s="71"/>
      <c r="BN126" s="71"/>
      <c r="BO126" s="71"/>
      <c r="BP126" s="71"/>
      <c r="BQ126" s="71"/>
      <c r="BR126" s="71"/>
      <c r="BS126" s="71"/>
      <c r="BT126" s="71"/>
      <c r="BU126" s="71"/>
      <c r="BV126" s="71"/>
      <c r="BW126" s="71"/>
      <c r="BX126" s="71"/>
      <c r="BY126" s="71"/>
      <c r="BZ126" s="71"/>
      <c r="CA126" s="71"/>
      <c r="CB126" s="71"/>
      <c r="CC126" s="71"/>
    </row>
    <row r="127" spans="2:81" x14ac:dyDescent="0.2">
      <c r="B127" s="71"/>
      <c r="C127" s="71"/>
      <c r="D127" s="71"/>
      <c r="E127" s="71"/>
      <c r="F127" s="71"/>
      <c r="G127" s="71"/>
      <c r="H127" s="71"/>
      <c r="I127" s="71"/>
      <c r="J127" s="71"/>
      <c r="K127" s="71"/>
      <c r="L127" s="71"/>
      <c r="M127" s="71"/>
      <c r="N127" s="71"/>
      <c r="O127" s="71"/>
      <c r="P127" s="71"/>
      <c r="Q127" s="71"/>
      <c r="R127" s="71"/>
      <c r="S127" s="71"/>
      <c r="T127" s="71"/>
      <c r="U127" s="71"/>
      <c r="V127" s="71"/>
      <c r="W127" s="71"/>
      <c r="X127" s="71"/>
      <c r="Y127" s="71"/>
      <c r="Z127" s="71"/>
      <c r="AA127" s="71"/>
      <c r="AB127" s="71"/>
      <c r="AC127" s="71"/>
      <c r="AD127" s="71"/>
      <c r="AE127" s="71"/>
      <c r="AF127" s="71"/>
      <c r="AG127" s="71"/>
      <c r="AH127" s="71"/>
      <c r="AI127" s="71"/>
      <c r="AJ127" s="71"/>
      <c r="AK127" s="71"/>
      <c r="AL127" s="71"/>
      <c r="AM127" s="71"/>
      <c r="AN127" s="71"/>
      <c r="AO127" s="71"/>
      <c r="AP127" s="71"/>
      <c r="AQ127" s="71"/>
      <c r="AR127" s="71"/>
      <c r="AS127" s="71"/>
      <c r="AT127" s="71"/>
      <c r="AU127" s="71"/>
      <c r="AV127" s="71"/>
      <c r="AW127" s="71"/>
      <c r="AX127" s="71"/>
      <c r="AY127" s="71"/>
      <c r="AZ127" s="71"/>
      <c r="BA127" s="71"/>
      <c r="BB127" s="71"/>
      <c r="BC127" s="71"/>
      <c r="BD127" s="71"/>
      <c r="BE127" s="71"/>
      <c r="BF127" s="71"/>
      <c r="BG127" s="71"/>
      <c r="BH127" s="71"/>
      <c r="BI127" s="71"/>
      <c r="BJ127" s="71"/>
      <c r="BK127" s="71"/>
      <c r="BL127" s="71" t="str">
        <f>+IF(BL$10&gt;$U$2,"",BK126/$Q$2)</f>
        <v/>
      </c>
      <c r="BM127" s="71"/>
      <c r="BN127" s="71"/>
      <c r="BO127" s="71"/>
      <c r="BP127" s="71"/>
      <c r="BQ127" s="71"/>
      <c r="BR127" s="71"/>
      <c r="BS127" s="71"/>
      <c r="BT127" s="71"/>
      <c r="BU127" s="71"/>
      <c r="BV127" s="71"/>
      <c r="BW127" s="71"/>
      <c r="BX127" s="71"/>
      <c r="BY127" s="71"/>
      <c r="BZ127" s="71"/>
      <c r="CA127" s="71"/>
      <c r="CB127" s="71"/>
      <c r="CC127" s="71"/>
    </row>
    <row r="128" spans="2:81" x14ac:dyDescent="0.2">
      <c r="B128" s="71"/>
      <c r="C128" s="71"/>
      <c r="D128" s="71"/>
      <c r="E128" s="71"/>
      <c r="F128" s="71"/>
      <c r="G128" s="71"/>
      <c r="H128" s="71"/>
      <c r="I128" s="71"/>
      <c r="J128" s="71"/>
      <c r="K128" s="71"/>
      <c r="L128" s="71"/>
      <c r="M128" s="71"/>
      <c r="N128" s="71"/>
      <c r="O128" s="71"/>
      <c r="P128" s="71"/>
      <c r="Q128" s="71"/>
      <c r="R128" s="71"/>
      <c r="S128" s="71"/>
      <c r="T128" s="71"/>
      <c r="U128" s="71"/>
      <c r="V128" s="71"/>
      <c r="W128" s="71"/>
      <c r="X128" s="71"/>
      <c r="Y128" s="71"/>
      <c r="Z128" s="71"/>
      <c r="AA128" s="71"/>
      <c r="AB128" s="71"/>
      <c r="AC128" s="71"/>
      <c r="AD128" s="71"/>
      <c r="AE128" s="71"/>
      <c r="AF128" s="71"/>
      <c r="AG128" s="71"/>
      <c r="AH128" s="71"/>
      <c r="AI128" s="71"/>
      <c r="AJ128" s="71"/>
      <c r="AK128" s="71"/>
      <c r="AL128" s="71"/>
      <c r="AM128" s="71"/>
      <c r="AN128" s="71"/>
      <c r="AO128" s="71"/>
      <c r="AP128" s="71"/>
      <c r="AQ128" s="71"/>
      <c r="AR128" s="71"/>
      <c r="AS128" s="71"/>
      <c r="AT128" s="71"/>
      <c r="AU128" s="71"/>
      <c r="AV128" s="71"/>
      <c r="AW128" s="71"/>
      <c r="AX128" s="71"/>
      <c r="AY128" s="71"/>
      <c r="AZ128" s="71"/>
      <c r="BA128" s="71"/>
      <c r="BB128" s="71"/>
      <c r="BC128" s="71"/>
      <c r="BD128" s="71"/>
      <c r="BE128" s="71"/>
      <c r="BF128" s="71"/>
      <c r="BG128" s="71"/>
      <c r="BH128" s="71"/>
      <c r="BI128" s="71"/>
      <c r="BJ128" s="71"/>
      <c r="BK128" s="71"/>
      <c r="BL128" s="71"/>
      <c r="BM128" s="71" t="str">
        <f>+IF(BM$10&gt;$U$2,"",BL127/$Q$2)</f>
        <v/>
      </c>
      <c r="BN128" s="71"/>
      <c r="BO128" s="71"/>
      <c r="BP128" s="71"/>
      <c r="BQ128" s="71"/>
      <c r="BR128" s="71"/>
      <c r="BS128" s="71"/>
      <c r="BT128" s="71"/>
      <c r="BU128" s="71"/>
      <c r="BV128" s="71"/>
      <c r="BW128" s="71"/>
      <c r="BX128" s="71"/>
      <c r="BY128" s="71"/>
      <c r="BZ128" s="71"/>
      <c r="CA128" s="71"/>
      <c r="CB128" s="71"/>
      <c r="CC128" s="71"/>
    </row>
    <row r="129" spans="2:81" x14ac:dyDescent="0.2">
      <c r="B129" s="71"/>
      <c r="C129" s="71"/>
      <c r="D129" s="71"/>
      <c r="E129" s="71"/>
      <c r="F129" s="71"/>
      <c r="G129" s="71"/>
      <c r="H129" s="71"/>
      <c r="I129" s="71"/>
      <c r="J129" s="71"/>
      <c r="K129" s="71"/>
      <c r="L129" s="71"/>
      <c r="M129" s="71"/>
      <c r="N129" s="71"/>
      <c r="O129" s="71"/>
      <c r="P129" s="71"/>
      <c r="Q129" s="71"/>
      <c r="R129" s="71"/>
      <c r="S129" s="71"/>
      <c r="T129" s="71"/>
      <c r="U129" s="71"/>
      <c r="V129" s="71"/>
      <c r="W129" s="71"/>
      <c r="X129" s="71"/>
      <c r="Y129" s="71"/>
      <c r="Z129" s="71"/>
      <c r="AA129" s="71"/>
      <c r="AB129" s="71"/>
      <c r="AC129" s="71"/>
      <c r="AD129" s="71"/>
      <c r="AE129" s="71"/>
      <c r="AF129" s="71"/>
      <c r="AG129" s="71"/>
      <c r="AH129" s="71"/>
      <c r="AI129" s="71"/>
      <c r="AJ129" s="71"/>
      <c r="AK129" s="71"/>
      <c r="AL129" s="71"/>
      <c r="AM129" s="71"/>
      <c r="AN129" s="71"/>
      <c r="AO129" s="71"/>
      <c r="AP129" s="71"/>
      <c r="AQ129" s="71"/>
      <c r="AR129" s="71"/>
      <c r="AS129" s="71"/>
      <c r="AT129" s="71"/>
      <c r="AU129" s="71"/>
      <c r="AV129" s="71"/>
      <c r="AW129" s="71"/>
      <c r="AX129" s="71"/>
      <c r="AY129" s="71"/>
      <c r="AZ129" s="71"/>
      <c r="BA129" s="71"/>
      <c r="BB129" s="71"/>
      <c r="BC129" s="71"/>
      <c r="BD129" s="71"/>
      <c r="BE129" s="71"/>
      <c r="BF129" s="71"/>
      <c r="BG129" s="71"/>
      <c r="BH129" s="71"/>
      <c r="BI129" s="71"/>
      <c r="BJ129" s="71"/>
      <c r="BK129" s="71"/>
      <c r="BL129" s="71"/>
      <c r="BM129" s="71"/>
      <c r="BN129" s="71" t="str">
        <f>+IF(BN$10&gt;$U$2,"",BM128/$Q$2)</f>
        <v/>
      </c>
      <c r="BO129" s="71"/>
      <c r="BP129" s="71"/>
      <c r="BQ129" s="71"/>
      <c r="BR129" s="71"/>
      <c r="BS129" s="71"/>
      <c r="BT129" s="71"/>
      <c r="BU129" s="71"/>
      <c r="BV129" s="71"/>
      <c r="BW129" s="71"/>
      <c r="BX129" s="71"/>
      <c r="BY129" s="71"/>
      <c r="BZ129" s="71"/>
      <c r="CA129" s="71"/>
      <c r="CB129" s="71"/>
      <c r="CC129" s="71"/>
    </row>
    <row r="130" spans="2:81" x14ac:dyDescent="0.2">
      <c r="B130" s="71"/>
      <c r="C130" s="71"/>
      <c r="D130" s="71"/>
      <c r="E130" s="71"/>
      <c r="F130" s="71"/>
      <c r="G130" s="71"/>
      <c r="H130" s="71"/>
      <c r="I130" s="71"/>
      <c r="J130" s="71"/>
      <c r="K130" s="71"/>
      <c r="L130" s="71"/>
      <c r="M130" s="71"/>
      <c r="N130" s="71"/>
      <c r="O130" s="71"/>
      <c r="P130" s="71"/>
      <c r="Q130" s="71"/>
      <c r="R130" s="71"/>
      <c r="S130" s="71"/>
      <c r="T130" s="71"/>
      <c r="U130" s="71"/>
      <c r="V130" s="71"/>
      <c r="W130" s="71"/>
      <c r="X130" s="71"/>
      <c r="Y130" s="71"/>
      <c r="Z130" s="71"/>
      <c r="AA130" s="71"/>
      <c r="AB130" s="71"/>
      <c r="AC130" s="71"/>
      <c r="AD130" s="71"/>
      <c r="AE130" s="71"/>
      <c r="AF130" s="71"/>
      <c r="AG130" s="71"/>
      <c r="AH130" s="71"/>
      <c r="AI130" s="71"/>
      <c r="AJ130" s="71"/>
      <c r="AK130" s="71"/>
      <c r="AL130" s="71"/>
      <c r="AM130" s="71"/>
      <c r="AN130" s="71"/>
      <c r="AO130" s="71"/>
      <c r="AP130" s="71"/>
      <c r="AQ130" s="71"/>
      <c r="AR130" s="71"/>
      <c r="AS130" s="71"/>
      <c r="AT130" s="71"/>
      <c r="AU130" s="71"/>
      <c r="AV130" s="71"/>
      <c r="AW130" s="71"/>
      <c r="AX130" s="71"/>
      <c r="AY130" s="71"/>
      <c r="AZ130" s="71"/>
      <c r="BA130" s="71"/>
      <c r="BB130" s="71"/>
      <c r="BC130" s="71"/>
      <c r="BD130" s="71"/>
      <c r="BE130" s="71"/>
      <c r="BF130" s="71"/>
      <c r="BG130" s="71"/>
      <c r="BH130" s="71"/>
      <c r="BI130" s="71"/>
      <c r="BJ130" s="71"/>
      <c r="BK130" s="71"/>
      <c r="BL130" s="71"/>
      <c r="BM130" s="71"/>
      <c r="BN130" s="71"/>
      <c r="BO130" s="71" t="str">
        <f>+IF(BO$10&gt;$U$2,"",BN129/$Q$2)</f>
        <v/>
      </c>
      <c r="BP130" s="71"/>
      <c r="BQ130" s="71"/>
      <c r="BR130" s="71"/>
      <c r="BS130" s="71"/>
      <c r="BT130" s="71"/>
      <c r="BU130" s="71"/>
      <c r="BV130" s="71"/>
      <c r="BW130" s="71"/>
      <c r="BX130" s="71"/>
      <c r="BY130" s="71"/>
      <c r="BZ130" s="71"/>
      <c r="CA130" s="71"/>
      <c r="CB130" s="71"/>
      <c r="CC130" s="71"/>
    </row>
    <row r="131" spans="2:81" x14ac:dyDescent="0.2">
      <c r="B131" s="71"/>
      <c r="C131" s="71"/>
      <c r="D131" s="71"/>
      <c r="E131" s="71"/>
      <c r="F131" s="71"/>
      <c r="G131" s="71"/>
      <c r="H131" s="71"/>
      <c r="I131" s="71"/>
      <c r="J131" s="71"/>
      <c r="K131" s="71"/>
      <c r="L131" s="71"/>
      <c r="M131" s="71"/>
      <c r="N131" s="71"/>
      <c r="O131" s="71"/>
      <c r="P131" s="71"/>
      <c r="Q131" s="71"/>
      <c r="R131" s="71"/>
      <c r="S131" s="71"/>
      <c r="T131" s="71"/>
      <c r="U131" s="71"/>
      <c r="V131" s="71"/>
      <c r="W131" s="71"/>
      <c r="X131" s="71"/>
      <c r="Y131" s="71"/>
      <c r="Z131" s="71"/>
      <c r="AA131" s="71"/>
      <c r="AB131" s="71"/>
      <c r="AC131" s="71"/>
      <c r="AD131" s="71"/>
      <c r="AE131" s="71"/>
      <c r="AF131" s="71"/>
      <c r="AG131" s="71"/>
      <c r="AH131" s="71"/>
      <c r="AI131" s="71"/>
      <c r="AJ131" s="71"/>
      <c r="AK131" s="71"/>
      <c r="AL131" s="71"/>
      <c r="AM131" s="71"/>
      <c r="AN131" s="71"/>
      <c r="AO131" s="71"/>
      <c r="AP131" s="71"/>
      <c r="AQ131" s="71"/>
      <c r="AR131" s="71"/>
      <c r="AS131" s="71"/>
      <c r="AT131" s="71"/>
      <c r="AU131" s="71"/>
      <c r="AV131" s="71"/>
      <c r="AW131" s="71"/>
      <c r="AX131" s="71"/>
      <c r="AY131" s="71"/>
      <c r="AZ131" s="71"/>
      <c r="BA131" s="71"/>
      <c r="BB131" s="71"/>
      <c r="BC131" s="71"/>
      <c r="BD131" s="71"/>
      <c r="BE131" s="71"/>
      <c r="BF131" s="71"/>
      <c r="BG131" s="71"/>
      <c r="BH131" s="71"/>
      <c r="BI131" s="71"/>
      <c r="BJ131" s="71"/>
      <c r="BK131" s="71"/>
      <c r="BL131" s="71"/>
      <c r="BM131" s="71"/>
      <c r="BN131" s="71"/>
      <c r="BO131" s="71"/>
      <c r="BP131" s="71" t="str">
        <f>+IF(BP$10&gt;$U$2,"",BO130/$Q$2)</f>
        <v/>
      </c>
      <c r="BQ131" s="71"/>
      <c r="BR131" s="71"/>
      <c r="BS131" s="71"/>
      <c r="BT131" s="71"/>
      <c r="BU131" s="71"/>
      <c r="BV131" s="71"/>
      <c r="BW131" s="71"/>
      <c r="BX131" s="71"/>
      <c r="BY131" s="71"/>
      <c r="BZ131" s="71"/>
      <c r="CA131" s="71"/>
      <c r="CB131" s="71"/>
      <c r="CC131" s="71"/>
    </row>
    <row r="132" spans="2:81" x14ac:dyDescent="0.2">
      <c r="B132" s="71"/>
      <c r="C132" s="71"/>
      <c r="D132" s="71"/>
      <c r="E132" s="71"/>
      <c r="F132" s="71"/>
      <c r="G132" s="71"/>
      <c r="H132" s="71"/>
      <c r="I132" s="71"/>
      <c r="J132" s="71"/>
      <c r="K132" s="71"/>
      <c r="L132" s="71"/>
      <c r="M132" s="71"/>
      <c r="N132" s="71"/>
      <c r="O132" s="71"/>
      <c r="P132" s="71"/>
      <c r="Q132" s="71"/>
      <c r="R132" s="71"/>
      <c r="S132" s="71"/>
      <c r="T132" s="71"/>
      <c r="U132" s="71"/>
      <c r="V132" s="71"/>
      <c r="W132" s="71"/>
      <c r="X132" s="71"/>
      <c r="Y132" s="71"/>
      <c r="Z132" s="71"/>
      <c r="AA132" s="71"/>
      <c r="AB132" s="71"/>
      <c r="AC132" s="71"/>
      <c r="AD132" s="71"/>
      <c r="AE132" s="71"/>
      <c r="AF132" s="71"/>
      <c r="AG132" s="71"/>
      <c r="AH132" s="71"/>
      <c r="AI132" s="71"/>
      <c r="AJ132" s="71"/>
      <c r="AK132" s="71"/>
      <c r="AL132" s="71"/>
      <c r="AM132" s="71"/>
      <c r="AN132" s="71"/>
      <c r="AO132" s="71"/>
      <c r="AP132" s="71"/>
      <c r="AQ132" s="71"/>
      <c r="AR132" s="71"/>
      <c r="AS132" s="71"/>
      <c r="AT132" s="71"/>
      <c r="AU132" s="71"/>
      <c r="AV132" s="71"/>
      <c r="AW132" s="71"/>
      <c r="AX132" s="71"/>
      <c r="AY132" s="71"/>
      <c r="AZ132" s="71"/>
      <c r="BA132" s="71"/>
      <c r="BB132" s="71"/>
      <c r="BC132" s="71"/>
      <c r="BD132" s="71"/>
      <c r="BE132" s="71"/>
      <c r="BF132" s="71"/>
      <c r="BG132" s="71"/>
      <c r="BH132" s="71"/>
      <c r="BI132" s="71"/>
      <c r="BJ132" s="71"/>
      <c r="BK132" s="71"/>
      <c r="BL132" s="71"/>
      <c r="BM132" s="71"/>
      <c r="BN132" s="71"/>
      <c r="BO132" s="71"/>
      <c r="BP132" s="71"/>
      <c r="BQ132" s="71" t="str">
        <f>+IF(BQ$10&gt;$U$2,"",BP131/$Q$2)</f>
        <v/>
      </c>
      <c r="BR132" s="71"/>
      <c r="BS132" s="71"/>
      <c r="BT132" s="71"/>
      <c r="BU132" s="71"/>
      <c r="BV132" s="71"/>
      <c r="BW132" s="71"/>
      <c r="BX132" s="71"/>
      <c r="BY132" s="71"/>
      <c r="BZ132" s="71"/>
      <c r="CA132" s="71"/>
      <c r="CB132" s="71"/>
      <c r="CC132" s="71"/>
    </row>
    <row r="133" spans="2:81" x14ac:dyDescent="0.2">
      <c r="B133" s="71"/>
      <c r="C133" s="71"/>
      <c r="D133" s="71"/>
      <c r="E133" s="71"/>
      <c r="F133" s="71"/>
      <c r="G133" s="71"/>
      <c r="H133" s="71"/>
      <c r="I133" s="71"/>
      <c r="J133" s="71"/>
      <c r="K133" s="71"/>
      <c r="L133" s="71"/>
      <c r="M133" s="71"/>
      <c r="N133" s="71"/>
      <c r="O133" s="71"/>
      <c r="P133" s="71"/>
      <c r="Q133" s="71"/>
      <c r="R133" s="71"/>
      <c r="S133" s="71"/>
      <c r="T133" s="71"/>
      <c r="U133" s="71"/>
      <c r="V133" s="71"/>
      <c r="W133" s="71"/>
      <c r="X133" s="71"/>
      <c r="Y133" s="71"/>
      <c r="Z133" s="71"/>
      <c r="AA133" s="71"/>
      <c r="AB133" s="71"/>
      <c r="AC133" s="71"/>
      <c r="AD133" s="71"/>
      <c r="AE133" s="71"/>
      <c r="AF133" s="71"/>
      <c r="AG133" s="71"/>
      <c r="AH133" s="71"/>
      <c r="AI133" s="71"/>
      <c r="AJ133" s="71"/>
      <c r="AK133" s="71"/>
      <c r="AL133" s="71"/>
      <c r="AM133" s="71"/>
      <c r="AN133" s="71"/>
      <c r="AO133" s="71"/>
      <c r="AP133" s="71"/>
      <c r="AQ133" s="71"/>
      <c r="AR133" s="71"/>
      <c r="AS133" s="71"/>
      <c r="AT133" s="71"/>
      <c r="AU133" s="71"/>
      <c r="AV133" s="71"/>
      <c r="AW133" s="71"/>
      <c r="AX133" s="71"/>
      <c r="AY133" s="71"/>
      <c r="AZ133" s="71"/>
      <c r="BA133" s="71"/>
      <c r="BB133" s="71"/>
      <c r="BC133" s="71"/>
      <c r="BD133" s="71"/>
      <c r="BE133" s="71"/>
      <c r="BF133" s="71"/>
      <c r="BG133" s="71"/>
      <c r="BH133" s="71"/>
      <c r="BI133" s="71"/>
      <c r="BJ133" s="71"/>
      <c r="BK133" s="71"/>
      <c r="BL133" s="71"/>
      <c r="BM133" s="71"/>
      <c r="BN133" s="71"/>
      <c r="BO133" s="71"/>
      <c r="BP133" s="71"/>
      <c r="BQ133" s="71"/>
      <c r="BR133" s="71" t="str">
        <f>+IF(BR$10&gt;$U$2,"",BQ132/$Q$2)</f>
        <v/>
      </c>
      <c r="BS133" s="71"/>
      <c r="BT133" s="71"/>
      <c r="BU133" s="71"/>
      <c r="BV133" s="71"/>
      <c r="BW133" s="71"/>
      <c r="BX133" s="71"/>
      <c r="BY133" s="71"/>
      <c r="BZ133" s="71"/>
      <c r="CA133" s="71"/>
      <c r="CB133" s="71"/>
      <c r="CC133" s="71"/>
    </row>
    <row r="134" spans="2:81" x14ac:dyDescent="0.2">
      <c r="B134" s="71"/>
      <c r="C134" s="71"/>
      <c r="D134" s="71"/>
      <c r="E134" s="71"/>
      <c r="F134" s="71"/>
      <c r="G134" s="71"/>
      <c r="H134" s="71"/>
      <c r="I134" s="71"/>
      <c r="J134" s="71"/>
      <c r="K134" s="71"/>
      <c r="L134" s="71"/>
      <c r="M134" s="71"/>
      <c r="N134" s="71"/>
      <c r="O134" s="71"/>
      <c r="P134" s="71"/>
      <c r="Q134" s="71"/>
      <c r="R134" s="71"/>
      <c r="S134" s="71"/>
      <c r="T134" s="71"/>
      <c r="U134" s="71"/>
      <c r="V134" s="71"/>
      <c r="W134" s="71"/>
      <c r="X134" s="71"/>
      <c r="Y134" s="71"/>
      <c r="Z134" s="71"/>
      <c r="AA134" s="71"/>
      <c r="AB134" s="71"/>
      <c r="AC134" s="71"/>
      <c r="AD134" s="71"/>
      <c r="AE134" s="71"/>
      <c r="AF134" s="71"/>
      <c r="AG134" s="71"/>
      <c r="AH134" s="71"/>
      <c r="AI134" s="71"/>
      <c r="AJ134" s="71"/>
      <c r="AK134" s="71"/>
      <c r="AL134" s="71"/>
      <c r="AM134" s="71"/>
      <c r="AN134" s="71"/>
      <c r="AO134" s="71"/>
      <c r="AP134" s="71"/>
      <c r="AQ134" s="71"/>
      <c r="AR134" s="71"/>
      <c r="AS134" s="71"/>
      <c r="AT134" s="71"/>
      <c r="AU134" s="71"/>
      <c r="AV134" s="71"/>
      <c r="AW134" s="71"/>
      <c r="AX134" s="71"/>
      <c r="AY134" s="71"/>
      <c r="AZ134" s="71"/>
      <c r="BA134" s="71"/>
      <c r="BB134" s="71"/>
      <c r="BC134" s="71"/>
      <c r="BD134" s="71"/>
      <c r="BE134" s="71"/>
      <c r="BF134" s="71"/>
      <c r="BG134" s="71"/>
      <c r="BH134" s="71"/>
      <c r="BI134" s="71"/>
      <c r="BJ134" s="71"/>
      <c r="BK134" s="71"/>
      <c r="BL134" s="71"/>
      <c r="BM134" s="71"/>
      <c r="BN134" s="71"/>
      <c r="BO134" s="71"/>
      <c r="BP134" s="71"/>
      <c r="BQ134" s="71"/>
      <c r="BR134" s="71"/>
      <c r="BS134" s="71" t="str">
        <f>+IF(BS$10&gt;$U$2,"",BR133/$Q$2)</f>
        <v/>
      </c>
      <c r="BT134" s="71"/>
      <c r="BU134" s="71"/>
      <c r="BV134" s="71"/>
      <c r="BW134" s="71"/>
      <c r="BX134" s="71"/>
      <c r="BY134" s="71"/>
      <c r="BZ134" s="71"/>
      <c r="CA134" s="71"/>
      <c r="CB134" s="71"/>
      <c r="CC134" s="71"/>
    </row>
    <row r="135" spans="2:81" x14ac:dyDescent="0.2">
      <c r="B135" s="71"/>
      <c r="C135" s="71"/>
      <c r="D135" s="71"/>
      <c r="E135" s="71"/>
      <c r="F135" s="71"/>
      <c r="G135" s="71"/>
      <c r="H135" s="71"/>
      <c r="I135" s="71"/>
      <c r="J135" s="71"/>
      <c r="K135" s="71"/>
      <c r="L135" s="71"/>
      <c r="M135" s="71"/>
      <c r="N135" s="71"/>
      <c r="O135" s="71"/>
      <c r="P135" s="71"/>
      <c r="Q135" s="71"/>
      <c r="R135" s="71"/>
      <c r="S135" s="71"/>
      <c r="T135" s="71"/>
      <c r="U135" s="71"/>
      <c r="V135" s="71"/>
      <c r="W135" s="71"/>
      <c r="X135" s="71"/>
      <c r="Y135" s="71"/>
      <c r="Z135" s="71"/>
      <c r="AA135" s="71"/>
      <c r="AB135" s="71"/>
      <c r="AC135" s="71"/>
      <c r="AD135" s="71"/>
      <c r="AE135" s="71"/>
      <c r="AF135" s="71"/>
      <c r="AG135" s="71"/>
      <c r="AH135" s="71"/>
      <c r="AI135" s="71"/>
      <c r="AJ135" s="71"/>
      <c r="AK135" s="71"/>
      <c r="AL135" s="71"/>
      <c r="AM135" s="71"/>
      <c r="AN135" s="71"/>
      <c r="AO135" s="71"/>
      <c r="AP135" s="71"/>
      <c r="AQ135" s="71"/>
      <c r="AR135" s="71"/>
      <c r="AS135" s="71"/>
      <c r="AT135" s="71"/>
      <c r="AU135" s="71"/>
      <c r="AV135" s="71"/>
      <c r="AW135" s="71"/>
      <c r="AX135" s="71"/>
      <c r="AY135" s="71"/>
      <c r="AZ135" s="71"/>
      <c r="BA135" s="71"/>
      <c r="BB135" s="71"/>
      <c r="BC135" s="71"/>
      <c r="BD135" s="71"/>
      <c r="BE135" s="71"/>
      <c r="BF135" s="71"/>
      <c r="BG135" s="71"/>
      <c r="BH135" s="71"/>
      <c r="BI135" s="71"/>
      <c r="BJ135" s="71"/>
      <c r="BK135" s="71"/>
      <c r="BL135" s="71"/>
      <c r="BM135" s="71"/>
      <c r="BN135" s="71"/>
      <c r="BO135" s="71"/>
      <c r="BP135" s="71"/>
      <c r="BQ135" s="71"/>
      <c r="BR135" s="71"/>
      <c r="BS135" s="71"/>
      <c r="BT135" s="71" t="str">
        <f>+IF(BT$10&gt;$U$2,"",BS134/$Q$2)</f>
        <v/>
      </c>
      <c r="BU135" s="71"/>
      <c r="BV135" s="71"/>
      <c r="BW135" s="71"/>
      <c r="BX135" s="71"/>
      <c r="BY135" s="71"/>
      <c r="BZ135" s="71"/>
      <c r="CA135" s="71"/>
      <c r="CB135" s="71"/>
      <c r="CC135" s="71"/>
    </row>
    <row r="136" spans="2:81" x14ac:dyDescent="0.2">
      <c r="B136" s="71"/>
      <c r="C136" s="71"/>
      <c r="D136" s="71"/>
      <c r="E136" s="71"/>
      <c r="F136" s="71"/>
      <c r="G136" s="71"/>
      <c r="H136" s="71"/>
      <c r="I136" s="71"/>
      <c r="J136" s="71"/>
      <c r="K136" s="71"/>
      <c r="L136" s="71"/>
      <c r="M136" s="71"/>
      <c r="N136" s="71"/>
      <c r="O136" s="71"/>
      <c r="P136" s="71"/>
      <c r="Q136" s="71"/>
      <c r="R136" s="71"/>
      <c r="S136" s="71"/>
      <c r="T136" s="71"/>
      <c r="U136" s="71"/>
      <c r="V136" s="71"/>
      <c r="W136" s="71"/>
      <c r="X136" s="71"/>
      <c r="Y136" s="71"/>
      <c r="Z136" s="71"/>
      <c r="AA136" s="71"/>
      <c r="AB136" s="71"/>
      <c r="AC136" s="71"/>
      <c r="AD136" s="71"/>
      <c r="AE136" s="71"/>
      <c r="AF136" s="71"/>
      <c r="AG136" s="71"/>
      <c r="AH136" s="71"/>
      <c r="AI136" s="71"/>
      <c r="AJ136" s="71"/>
      <c r="AK136" s="71"/>
      <c r="AL136" s="71"/>
      <c r="AM136" s="71"/>
      <c r="AN136" s="71"/>
      <c r="AO136" s="71"/>
      <c r="AP136" s="71"/>
      <c r="AQ136" s="71"/>
      <c r="AR136" s="71"/>
      <c r="AS136" s="71"/>
      <c r="AT136" s="71"/>
      <c r="AU136" s="71"/>
      <c r="AV136" s="71"/>
      <c r="AW136" s="71"/>
      <c r="AX136" s="71"/>
      <c r="AY136" s="71"/>
      <c r="AZ136" s="71"/>
      <c r="BA136" s="71"/>
      <c r="BB136" s="71"/>
      <c r="BC136" s="71"/>
      <c r="BD136" s="71"/>
      <c r="BE136" s="71"/>
      <c r="BF136" s="71"/>
      <c r="BG136" s="71"/>
      <c r="BH136" s="71"/>
      <c r="BI136" s="71"/>
      <c r="BJ136" s="71"/>
      <c r="BK136" s="71"/>
      <c r="BL136" s="71"/>
      <c r="BM136" s="71"/>
      <c r="BN136" s="71"/>
      <c r="BO136" s="71"/>
      <c r="BP136" s="71"/>
      <c r="BQ136" s="71"/>
      <c r="BR136" s="71"/>
      <c r="BS136" s="71"/>
      <c r="BT136" s="71"/>
      <c r="BU136" s="71" t="str">
        <f>+IF(BU$10&gt;$U$2,"",BT135/$Q$2)</f>
        <v/>
      </c>
      <c r="BV136" s="71"/>
      <c r="BW136" s="71"/>
      <c r="BX136" s="71"/>
      <c r="BY136" s="71"/>
      <c r="BZ136" s="71"/>
      <c r="CA136" s="71"/>
      <c r="CB136" s="71"/>
      <c r="CC136" s="71"/>
    </row>
    <row r="137" spans="2:81" x14ac:dyDescent="0.2">
      <c r="B137" s="71"/>
      <c r="C137" s="71"/>
      <c r="D137" s="71"/>
      <c r="E137" s="71"/>
      <c r="F137" s="71"/>
      <c r="G137" s="71"/>
      <c r="H137" s="71"/>
      <c r="I137" s="71"/>
      <c r="J137" s="71"/>
      <c r="K137" s="71"/>
      <c r="L137" s="71"/>
      <c r="M137" s="71"/>
      <c r="N137" s="71"/>
      <c r="O137" s="71"/>
      <c r="P137" s="71"/>
      <c r="Q137" s="71"/>
      <c r="R137" s="71"/>
      <c r="S137" s="71"/>
      <c r="T137" s="71"/>
      <c r="U137" s="71"/>
      <c r="V137" s="71"/>
      <c r="W137" s="71"/>
      <c r="X137" s="71"/>
      <c r="Y137" s="71"/>
      <c r="Z137" s="71"/>
      <c r="AA137" s="71"/>
      <c r="AB137" s="71"/>
      <c r="AC137" s="71"/>
      <c r="AD137" s="71"/>
      <c r="AE137" s="71"/>
      <c r="AF137" s="71"/>
      <c r="AG137" s="71"/>
      <c r="AH137" s="71"/>
      <c r="AI137" s="71"/>
      <c r="AJ137" s="71"/>
      <c r="AK137" s="71"/>
      <c r="AL137" s="71"/>
      <c r="AM137" s="71"/>
      <c r="AN137" s="71"/>
      <c r="AO137" s="71"/>
      <c r="AP137" s="71"/>
      <c r="AQ137" s="71"/>
      <c r="AR137" s="71"/>
      <c r="AS137" s="71"/>
      <c r="AT137" s="71"/>
      <c r="AU137" s="71"/>
      <c r="AV137" s="71"/>
      <c r="AW137" s="71"/>
      <c r="AX137" s="71"/>
      <c r="AY137" s="71"/>
      <c r="AZ137" s="71"/>
      <c r="BA137" s="71"/>
      <c r="BB137" s="71"/>
      <c r="BC137" s="71"/>
      <c r="BD137" s="71"/>
      <c r="BE137" s="71"/>
      <c r="BF137" s="71"/>
      <c r="BG137" s="71"/>
      <c r="BH137" s="71"/>
      <c r="BI137" s="71"/>
      <c r="BJ137" s="71"/>
      <c r="BK137" s="71"/>
      <c r="BL137" s="71"/>
      <c r="BM137" s="71"/>
      <c r="BN137" s="71"/>
      <c r="BO137" s="71"/>
      <c r="BP137" s="71"/>
      <c r="BQ137" s="71"/>
      <c r="BR137" s="71"/>
      <c r="BS137" s="71"/>
      <c r="BT137" s="71"/>
      <c r="BU137" s="71"/>
      <c r="BV137" s="71" t="str">
        <f>+IF(BV$10&gt;$U$2,"",BU136/$Q$2)</f>
        <v/>
      </c>
      <c r="BW137" s="71"/>
      <c r="BX137" s="71"/>
      <c r="BY137" s="71"/>
      <c r="BZ137" s="71"/>
      <c r="CA137" s="71"/>
      <c r="CB137" s="71"/>
      <c r="CC137" s="71"/>
    </row>
    <row r="138" spans="2:81" x14ac:dyDescent="0.2">
      <c r="B138" s="71"/>
      <c r="C138" s="71"/>
      <c r="D138" s="71"/>
      <c r="E138" s="71"/>
      <c r="F138" s="71"/>
      <c r="G138" s="71"/>
      <c r="H138" s="71"/>
      <c r="I138" s="71"/>
      <c r="J138" s="71"/>
      <c r="K138" s="71"/>
      <c r="L138" s="71"/>
      <c r="M138" s="71"/>
      <c r="N138" s="71"/>
      <c r="O138" s="71"/>
      <c r="P138" s="71"/>
      <c r="Q138" s="71"/>
      <c r="R138" s="71"/>
      <c r="S138" s="71"/>
      <c r="T138" s="71"/>
      <c r="U138" s="71"/>
      <c r="V138" s="71"/>
      <c r="W138" s="71"/>
      <c r="X138" s="71"/>
      <c r="Y138" s="71"/>
      <c r="Z138" s="71"/>
      <c r="AA138" s="71"/>
      <c r="AB138" s="71"/>
      <c r="AC138" s="71"/>
      <c r="AD138" s="71"/>
      <c r="AE138" s="71"/>
      <c r="AF138" s="71"/>
      <c r="AG138" s="71"/>
      <c r="AH138" s="71"/>
      <c r="AI138" s="71"/>
      <c r="AJ138" s="71"/>
      <c r="AK138" s="71"/>
      <c r="AL138" s="71"/>
      <c r="AM138" s="71"/>
      <c r="AN138" s="71"/>
      <c r="AO138" s="71"/>
      <c r="AP138" s="71"/>
      <c r="AQ138" s="71"/>
      <c r="AR138" s="71"/>
      <c r="AS138" s="71"/>
      <c r="AT138" s="71"/>
      <c r="AU138" s="71"/>
      <c r="AV138" s="71"/>
      <c r="AW138" s="71"/>
      <c r="AX138" s="71"/>
      <c r="AY138" s="71"/>
      <c r="AZ138" s="71"/>
      <c r="BA138" s="71"/>
      <c r="BB138" s="71"/>
      <c r="BC138" s="71"/>
      <c r="BD138" s="71"/>
      <c r="BE138" s="71"/>
      <c r="BF138" s="71"/>
      <c r="BG138" s="71"/>
      <c r="BH138" s="71"/>
      <c r="BI138" s="71"/>
      <c r="BJ138" s="71"/>
      <c r="BK138" s="71"/>
      <c r="BL138" s="71"/>
      <c r="BM138" s="71"/>
      <c r="BN138" s="71"/>
      <c r="BO138" s="71"/>
      <c r="BP138" s="71"/>
      <c r="BQ138" s="71"/>
      <c r="BR138" s="71"/>
      <c r="BS138" s="71"/>
      <c r="BT138" s="71"/>
      <c r="BU138" s="71"/>
      <c r="BV138" s="71"/>
      <c r="BW138" s="71" t="str">
        <f>+IF(BW$10&gt;$U$2,"",BV137/$Q$2)</f>
        <v/>
      </c>
      <c r="BX138" s="71"/>
      <c r="BY138" s="71"/>
      <c r="BZ138" s="71"/>
      <c r="CA138" s="71"/>
      <c r="CB138" s="71"/>
      <c r="CC138" s="71"/>
    </row>
    <row r="139" spans="2:81" x14ac:dyDescent="0.2">
      <c r="B139" s="71"/>
      <c r="C139" s="71"/>
      <c r="D139" s="71"/>
      <c r="E139" s="71"/>
      <c r="F139" s="71"/>
      <c r="G139" s="71"/>
      <c r="H139" s="71"/>
      <c r="I139" s="71"/>
      <c r="J139" s="71"/>
      <c r="K139" s="71"/>
      <c r="L139" s="71"/>
      <c r="M139" s="71"/>
      <c r="N139" s="71"/>
      <c r="O139" s="71"/>
      <c r="P139" s="71"/>
      <c r="Q139" s="71"/>
      <c r="R139" s="71"/>
      <c r="S139" s="71"/>
      <c r="T139" s="71"/>
      <c r="U139" s="71"/>
      <c r="V139" s="71"/>
      <c r="W139" s="71"/>
      <c r="X139" s="71"/>
      <c r="Y139" s="71"/>
      <c r="Z139" s="71"/>
      <c r="AA139" s="71"/>
      <c r="AB139" s="71"/>
      <c r="AC139" s="71"/>
      <c r="AD139" s="71"/>
      <c r="AE139" s="71"/>
      <c r="AF139" s="71"/>
      <c r="AG139" s="71"/>
      <c r="AH139" s="71"/>
      <c r="AI139" s="71"/>
      <c r="AJ139" s="71"/>
      <c r="AK139" s="71"/>
      <c r="AL139" s="71"/>
      <c r="AM139" s="71"/>
      <c r="AN139" s="71"/>
      <c r="AO139" s="71"/>
      <c r="AP139" s="71"/>
      <c r="AQ139" s="71"/>
      <c r="AR139" s="71"/>
      <c r="AS139" s="71"/>
      <c r="AT139" s="71"/>
      <c r="AU139" s="71"/>
      <c r="AV139" s="71"/>
      <c r="AW139" s="71"/>
      <c r="AX139" s="71"/>
      <c r="AY139" s="71"/>
      <c r="AZ139" s="71"/>
      <c r="BA139" s="71"/>
      <c r="BB139" s="71"/>
      <c r="BC139" s="71"/>
      <c r="BD139" s="71"/>
      <c r="BE139" s="71"/>
      <c r="BF139" s="71"/>
      <c r="BG139" s="71"/>
      <c r="BH139" s="71"/>
      <c r="BI139" s="71"/>
      <c r="BJ139" s="71"/>
      <c r="BK139" s="71"/>
      <c r="BL139" s="71"/>
      <c r="BM139" s="71"/>
      <c r="BN139" s="71"/>
      <c r="BO139" s="71"/>
      <c r="BP139" s="71"/>
      <c r="BQ139" s="71"/>
      <c r="BR139" s="71"/>
      <c r="BS139" s="71"/>
      <c r="BT139" s="71"/>
      <c r="BU139" s="71"/>
      <c r="BV139" s="71"/>
      <c r="BW139" s="71"/>
      <c r="BX139" s="71" t="str">
        <f>+IF(BX$10&gt;$U$2,"",BW138/$Q$2)</f>
        <v/>
      </c>
      <c r="BY139" s="71"/>
      <c r="BZ139" s="71"/>
      <c r="CA139" s="71"/>
      <c r="CB139" s="71"/>
      <c r="CC139" s="71"/>
    </row>
    <row r="140" spans="2:81" x14ac:dyDescent="0.2">
      <c r="B140" s="71"/>
      <c r="C140" s="71"/>
      <c r="D140" s="71"/>
      <c r="E140" s="71"/>
      <c r="F140" s="71"/>
      <c r="G140" s="71"/>
      <c r="H140" s="71"/>
      <c r="I140" s="71"/>
      <c r="J140" s="71"/>
      <c r="K140" s="71"/>
      <c r="L140" s="71"/>
      <c r="M140" s="71"/>
      <c r="N140" s="71"/>
      <c r="O140" s="71"/>
      <c r="P140" s="71"/>
      <c r="Q140" s="71"/>
      <c r="R140" s="71"/>
      <c r="S140" s="71"/>
      <c r="T140" s="71"/>
      <c r="U140" s="71"/>
      <c r="V140" s="71"/>
      <c r="W140" s="71"/>
      <c r="X140" s="71"/>
      <c r="Y140" s="71"/>
      <c r="Z140" s="71"/>
      <c r="AA140" s="71"/>
      <c r="AB140" s="71"/>
      <c r="AC140" s="71"/>
      <c r="AD140" s="71"/>
      <c r="AE140" s="71"/>
      <c r="AF140" s="71"/>
      <c r="AG140" s="71"/>
      <c r="AH140" s="71"/>
      <c r="AI140" s="71"/>
      <c r="AJ140" s="71"/>
      <c r="AK140" s="71"/>
      <c r="AL140" s="71"/>
      <c r="AM140" s="71"/>
      <c r="AN140" s="71"/>
      <c r="AO140" s="71"/>
      <c r="AP140" s="71"/>
      <c r="AQ140" s="71"/>
      <c r="AR140" s="71"/>
      <c r="AS140" s="71"/>
      <c r="AT140" s="71"/>
      <c r="AU140" s="71"/>
      <c r="AV140" s="71"/>
      <c r="AW140" s="71"/>
      <c r="AX140" s="71"/>
      <c r="AY140" s="71"/>
      <c r="AZ140" s="71"/>
      <c r="BA140" s="71"/>
      <c r="BB140" s="71"/>
      <c r="BC140" s="71"/>
      <c r="BD140" s="71"/>
      <c r="BE140" s="71"/>
      <c r="BF140" s="71"/>
      <c r="BG140" s="71"/>
      <c r="BH140" s="71"/>
      <c r="BI140" s="71"/>
      <c r="BJ140" s="71"/>
      <c r="BK140" s="71"/>
      <c r="BL140" s="71"/>
      <c r="BM140" s="71"/>
      <c r="BN140" s="71"/>
      <c r="BO140" s="71"/>
      <c r="BP140" s="71"/>
      <c r="BQ140" s="71"/>
      <c r="BR140" s="71"/>
      <c r="BS140" s="71"/>
      <c r="BT140" s="71"/>
      <c r="BU140" s="71"/>
      <c r="BV140" s="71"/>
      <c r="BW140" s="71"/>
      <c r="BX140" s="71"/>
      <c r="BY140" s="71" t="str">
        <f>+IF(BY$10&gt;$U$2,"",BX139/$Q$2)</f>
        <v/>
      </c>
      <c r="BZ140" s="71"/>
      <c r="CA140" s="71"/>
      <c r="CB140" s="71"/>
      <c r="CC140" s="71"/>
    </row>
    <row r="141" spans="2:81" x14ac:dyDescent="0.2">
      <c r="B141" s="71"/>
      <c r="C141" s="71"/>
      <c r="D141" s="71"/>
      <c r="E141" s="71"/>
      <c r="F141" s="71"/>
      <c r="G141" s="71"/>
      <c r="H141" s="71"/>
      <c r="I141" s="71"/>
      <c r="J141" s="71"/>
      <c r="K141" s="71"/>
      <c r="L141" s="71"/>
      <c r="M141" s="71"/>
      <c r="N141" s="71"/>
      <c r="O141" s="71"/>
      <c r="P141" s="71"/>
      <c r="Q141" s="71"/>
      <c r="R141" s="71"/>
      <c r="S141" s="71"/>
      <c r="T141" s="71"/>
      <c r="U141" s="71"/>
      <c r="V141" s="71"/>
      <c r="W141" s="71"/>
      <c r="X141" s="71"/>
      <c r="Y141" s="71"/>
      <c r="Z141" s="71"/>
      <c r="AA141" s="71"/>
      <c r="AB141" s="71"/>
      <c r="AC141" s="71"/>
      <c r="AD141" s="71"/>
      <c r="AE141" s="71"/>
      <c r="AF141" s="71"/>
      <c r="AG141" s="71"/>
      <c r="AH141" s="71"/>
      <c r="AI141" s="71"/>
      <c r="AJ141" s="71"/>
      <c r="AK141" s="71"/>
      <c r="AL141" s="71"/>
      <c r="AM141" s="71"/>
      <c r="AN141" s="71"/>
      <c r="AO141" s="71"/>
      <c r="AP141" s="71"/>
      <c r="AQ141" s="71"/>
      <c r="AR141" s="71"/>
      <c r="AS141" s="71"/>
      <c r="AT141" s="71"/>
      <c r="AU141" s="71"/>
      <c r="AV141" s="71"/>
      <c r="AW141" s="71"/>
      <c r="AX141" s="71"/>
      <c r="AY141" s="71"/>
      <c r="AZ141" s="71"/>
      <c r="BA141" s="71"/>
      <c r="BB141" s="71"/>
      <c r="BC141" s="71"/>
      <c r="BD141" s="71"/>
      <c r="BE141" s="71"/>
      <c r="BF141" s="71"/>
      <c r="BG141" s="71"/>
      <c r="BH141" s="71"/>
      <c r="BI141" s="71"/>
      <c r="BJ141" s="71"/>
      <c r="BK141" s="71"/>
      <c r="BL141" s="71"/>
      <c r="BM141" s="71"/>
      <c r="BN141" s="71"/>
      <c r="BO141" s="71"/>
      <c r="BP141" s="71"/>
      <c r="BQ141" s="71"/>
      <c r="BR141" s="71"/>
      <c r="BS141" s="71"/>
      <c r="BT141" s="71"/>
      <c r="BU141" s="71"/>
      <c r="BV141" s="71"/>
      <c r="BW141" s="71"/>
      <c r="BX141" s="71"/>
      <c r="BY141" s="71"/>
      <c r="BZ141" s="71" t="str">
        <f>+IF(BZ$10&gt;$U$2,"",BY140/$Q$2)</f>
        <v/>
      </c>
      <c r="CA141" s="71"/>
      <c r="CB141" s="71"/>
      <c r="CC141" s="71"/>
    </row>
    <row r="142" spans="2:81" x14ac:dyDescent="0.2">
      <c r="B142" s="71"/>
      <c r="C142" s="71"/>
      <c r="D142" s="71"/>
      <c r="E142" s="71"/>
      <c r="F142" s="71"/>
      <c r="G142" s="71"/>
      <c r="H142" s="71"/>
      <c r="I142" s="71"/>
      <c r="J142" s="71"/>
      <c r="K142" s="71"/>
      <c r="L142" s="71"/>
      <c r="M142" s="71"/>
      <c r="N142" s="71"/>
      <c r="O142" s="71"/>
      <c r="P142" s="71"/>
      <c r="Q142" s="71"/>
      <c r="R142" s="71"/>
      <c r="S142" s="71"/>
      <c r="T142" s="71"/>
      <c r="U142" s="71"/>
      <c r="V142" s="71"/>
      <c r="W142" s="71"/>
      <c r="X142" s="71"/>
      <c r="Y142" s="71"/>
      <c r="Z142" s="71"/>
      <c r="AA142" s="71"/>
      <c r="AB142" s="71"/>
      <c r="AC142" s="71"/>
      <c r="AD142" s="71"/>
      <c r="AE142" s="71"/>
      <c r="AF142" s="71"/>
      <c r="AG142" s="71"/>
      <c r="AH142" s="71"/>
      <c r="AI142" s="71"/>
      <c r="AJ142" s="71"/>
      <c r="AK142" s="71"/>
      <c r="AL142" s="71"/>
      <c r="AM142" s="71"/>
      <c r="AN142" s="71"/>
      <c r="AO142" s="71"/>
      <c r="AP142" s="71"/>
      <c r="AQ142" s="71"/>
      <c r="AR142" s="71"/>
      <c r="AS142" s="71"/>
      <c r="AT142" s="71"/>
      <c r="AU142" s="71"/>
      <c r="AV142" s="71"/>
      <c r="AW142" s="71"/>
      <c r="AX142" s="71"/>
      <c r="AY142" s="71"/>
      <c r="AZ142" s="71"/>
      <c r="BA142" s="71"/>
      <c r="BB142" s="71"/>
      <c r="BC142" s="71"/>
      <c r="BD142" s="71"/>
      <c r="BE142" s="71"/>
      <c r="BF142" s="71"/>
      <c r="BG142" s="71"/>
      <c r="BH142" s="71"/>
      <c r="BI142" s="71"/>
      <c r="BJ142" s="71"/>
      <c r="BK142" s="71"/>
      <c r="BL142" s="71"/>
      <c r="BM142" s="71"/>
      <c r="BN142" s="71"/>
      <c r="BO142" s="71"/>
      <c r="BP142" s="71"/>
      <c r="BQ142" s="71"/>
      <c r="BR142" s="71"/>
      <c r="BS142" s="71"/>
      <c r="BT142" s="71"/>
      <c r="BU142" s="71"/>
      <c r="BV142" s="71"/>
      <c r="BW142" s="71"/>
      <c r="BX142" s="71"/>
      <c r="BY142" s="71"/>
      <c r="BZ142" s="71"/>
      <c r="CA142" s="71" t="str">
        <f>+IF(CA$10&gt;$U$2,"",BZ141/$Q$2)</f>
        <v/>
      </c>
      <c r="CB142" s="71"/>
      <c r="CC142" s="71"/>
    </row>
    <row r="143" spans="2:81" x14ac:dyDescent="0.2">
      <c r="B143" s="71"/>
      <c r="C143" s="71"/>
      <c r="D143" s="71"/>
      <c r="E143" s="71"/>
      <c r="F143" s="71"/>
      <c r="G143" s="71"/>
      <c r="H143" s="71"/>
      <c r="I143" s="71"/>
      <c r="J143" s="71"/>
      <c r="K143" s="71"/>
      <c r="L143" s="71"/>
      <c r="M143" s="71"/>
      <c r="N143" s="71"/>
      <c r="O143" s="71"/>
      <c r="P143" s="71"/>
      <c r="Q143" s="71"/>
      <c r="R143" s="71"/>
      <c r="S143" s="71"/>
      <c r="T143" s="71"/>
      <c r="U143" s="71"/>
      <c r="V143" s="71"/>
      <c r="W143" s="71"/>
      <c r="X143" s="71"/>
      <c r="Y143" s="71"/>
      <c r="Z143" s="71"/>
      <c r="AA143" s="71"/>
      <c r="AB143" s="71"/>
      <c r="AC143" s="71"/>
      <c r="AD143" s="71"/>
      <c r="AE143" s="71"/>
      <c r="AF143" s="71"/>
      <c r="AG143" s="71"/>
      <c r="AH143" s="71"/>
      <c r="AI143" s="71"/>
      <c r="AJ143" s="71"/>
      <c r="AK143" s="71"/>
      <c r="AL143" s="71"/>
      <c r="AM143" s="71"/>
      <c r="AN143" s="71"/>
      <c r="AO143" s="71"/>
      <c r="AP143" s="71"/>
      <c r="AQ143" s="71"/>
      <c r="AR143" s="71"/>
      <c r="AS143" s="71"/>
      <c r="AT143" s="71"/>
      <c r="AU143" s="71"/>
      <c r="AV143" s="71"/>
      <c r="AW143" s="71"/>
      <c r="AX143" s="71"/>
      <c r="AY143" s="71"/>
      <c r="AZ143" s="71"/>
      <c r="BA143" s="71"/>
      <c r="BB143" s="71"/>
      <c r="BC143" s="71"/>
      <c r="BD143" s="71"/>
      <c r="BE143" s="71"/>
      <c r="BF143" s="71"/>
      <c r="BG143" s="71"/>
      <c r="BH143" s="71"/>
      <c r="BI143" s="71"/>
      <c r="BJ143" s="71"/>
      <c r="BK143" s="71"/>
      <c r="BL143" s="71"/>
      <c r="BM143" s="71"/>
      <c r="BN143" s="71"/>
      <c r="BO143" s="71"/>
      <c r="BP143" s="71"/>
      <c r="BQ143" s="71"/>
      <c r="BR143" s="71"/>
      <c r="BS143" s="71"/>
      <c r="BT143" s="71"/>
      <c r="BU143" s="71"/>
      <c r="BV143" s="71"/>
      <c r="BW143" s="71"/>
      <c r="BX143" s="71"/>
      <c r="BY143" s="71"/>
      <c r="BZ143" s="71"/>
      <c r="CA143" s="71"/>
      <c r="CB143" s="71" t="str">
        <f>+IF(CB$10&gt;$U$2,"",CA142/$Q$2)</f>
        <v/>
      </c>
      <c r="CC143" s="71"/>
    </row>
    <row r="144" spans="2:81" x14ac:dyDescent="0.2">
      <c r="B144" s="71"/>
      <c r="C144" s="71"/>
      <c r="D144" s="71"/>
      <c r="E144" s="71"/>
      <c r="F144" s="71"/>
      <c r="G144" s="71"/>
      <c r="H144" s="71"/>
      <c r="I144" s="71"/>
      <c r="J144" s="71"/>
      <c r="K144" s="71"/>
      <c r="L144" s="71"/>
      <c r="M144" s="71"/>
      <c r="N144" s="71"/>
      <c r="O144" s="71"/>
      <c r="P144" s="71"/>
      <c r="Q144" s="71"/>
      <c r="R144" s="71"/>
      <c r="S144" s="71"/>
      <c r="T144" s="71"/>
      <c r="U144" s="71"/>
      <c r="V144" s="71"/>
      <c r="W144" s="71"/>
      <c r="X144" s="71"/>
      <c r="Y144" s="71"/>
      <c r="Z144" s="71"/>
      <c r="AA144" s="71"/>
      <c r="AB144" s="71"/>
      <c r="AC144" s="71"/>
      <c r="AD144" s="71"/>
      <c r="AE144" s="71"/>
      <c r="AF144" s="71"/>
      <c r="AG144" s="71"/>
      <c r="AH144" s="71"/>
      <c r="AI144" s="71"/>
      <c r="AJ144" s="71"/>
      <c r="AK144" s="71"/>
      <c r="AL144" s="71"/>
      <c r="AM144" s="71"/>
      <c r="AN144" s="71"/>
      <c r="AO144" s="71"/>
      <c r="AP144" s="71"/>
      <c r="AQ144" s="71"/>
      <c r="AR144" s="71"/>
      <c r="AS144" s="71"/>
      <c r="AT144" s="71"/>
      <c r="AU144" s="71"/>
      <c r="AV144" s="71"/>
      <c r="AW144" s="71"/>
      <c r="AX144" s="71"/>
      <c r="AY144" s="71"/>
      <c r="AZ144" s="71"/>
      <c r="BA144" s="71"/>
      <c r="BB144" s="71"/>
      <c r="BC144" s="71"/>
      <c r="BD144" s="71"/>
      <c r="BE144" s="71"/>
      <c r="BF144" s="71"/>
      <c r="BG144" s="71"/>
      <c r="BH144" s="71"/>
      <c r="BI144" s="71"/>
      <c r="BJ144" s="71"/>
      <c r="BK144" s="71"/>
      <c r="BL144" s="71"/>
      <c r="BM144" s="71"/>
      <c r="BN144" s="71"/>
      <c r="BO144" s="71"/>
      <c r="BP144" s="71"/>
      <c r="BQ144" s="71"/>
      <c r="BR144" s="71"/>
      <c r="BS144" s="71"/>
      <c r="BT144" s="71"/>
      <c r="BU144" s="71"/>
      <c r="BV144" s="71"/>
      <c r="BW144" s="71"/>
      <c r="BX144" s="71"/>
      <c r="BY144" s="71"/>
      <c r="BZ144" s="71"/>
      <c r="CA144" s="71"/>
      <c r="CB144" s="71"/>
      <c r="CC144" s="71" t="str">
        <f>+IF(CC$10&gt;$U$2,"",CB143/$Q$2)</f>
        <v/>
      </c>
    </row>
  </sheetData>
  <sheetProtection password="DC54" sheet="1" objects="1" scenarios="1" selectLockedCells="1"/>
  <mergeCells count="4">
    <mergeCell ref="B5:U5"/>
    <mergeCell ref="B6:U6"/>
    <mergeCell ref="B7:U7"/>
    <mergeCell ref="B8:U8"/>
  </mergeCells>
  <phoneticPr fontId="2" type="noConversion"/>
  <pageMargins left="0.75" right="0.75" top="1" bottom="1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E137"/>
  <sheetViews>
    <sheetView showGridLines="0" showRowColHeaders="0" workbookViewId="0">
      <pane ySplit="11" topLeftCell="A12" activePane="bottomLeft" state="frozen"/>
      <selection pane="bottomLeft" activeCell="A12" sqref="A12"/>
    </sheetView>
  </sheetViews>
  <sheetFormatPr defaultRowHeight="12.75" x14ac:dyDescent="0.2"/>
  <cols>
    <col min="1" max="1" width="9.140625" style="46"/>
    <col min="2" max="2" width="6" style="46" customWidth="1"/>
    <col min="3" max="3" width="9.140625" style="46"/>
    <col min="4" max="4" width="11.5703125" style="46" customWidth="1"/>
    <col min="5" max="5" width="1.7109375" style="46" customWidth="1"/>
    <col min="6" max="6" width="9.140625" style="46"/>
    <col min="7" max="7" width="3.85546875" style="46" customWidth="1"/>
    <col min="8" max="8" width="9.140625" style="46"/>
    <col min="9" max="9" width="3.28515625" style="46" customWidth="1"/>
    <col min="10" max="10" width="9.140625" style="46"/>
    <col min="11" max="11" width="3" style="46" customWidth="1"/>
    <col min="12" max="12" width="9.140625" style="46"/>
    <col min="13" max="13" width="3.7109375" style="46" customWidth="1"/>
    <col min="14" max="14" width="9.140625" style="46"/>
    <col min="15" max="15" width="3.5703125" style="46" customWidth="1"/>
    <col min="16" max="16" width="9.140625" style="46"/>
    <col min="17" max="17" width="4.140625" style="46" customWidth="1"/>
    <col min="18" max="18" width="9.140625" style="46"/>
    <col min="19" max="19" width="3.42578125" style="46" customWidth="1"/>
    <col min="20" max="20" width="9.140625" style="46"/>
    <col min="21" max="21" width="3.28515625" style="46" customWidth="1"/>
    <col min="22" max="22" width="9.140625" style="46"/>
    <col min="23" max="23" width="3.28515625" style="46" customWidth="1"/>
    <col min="24" max="24" width="9.140625" style="46"/>
    <col min="25" max="25" width="4.140625" style="46" customWidth="1"/>
    <col min="26" max="26" width="9.140625" style="46"/>
    <col min="27" max="27" width="4.140625" style="46" customWidth="1"/>
    <col min="28" max="28" width="9.140625" style="46"/>
    <col min="29" max="29" width="3.42578125" style="46" customWidth="1"/>
    <col min="30" max="30" width="9.140625" style="46"/>
    <col min="31" max="31" width="3.42578125" style="46" customWidth="1"/>
    <col min="32" max="32" width="9.140625" style="46"/>
    <col min="33" max="33" width="3.5703125" style="46" customWidth="1"/>
    <col min="34" max="34" width="9.140625" style="46"/>
    <col min="35" max="35" width="3.5703125" style="46" customWidth="1"/>
    <col min="36" max="36" width="9.140625" style="46"/>
    <col min="37" max="37" width="3.28515625" style="46" customWidth="1"/>
    <col min="38" max="38" width="9.140625" style="46"/>
    <col min="39" max="39" width="3.42578125" style="46" customWidth="1"/>
    <col min="40" max="40" width="9.140625" style="46"/>
    <col min="41" max="41" width="3.28515625" style="46" customWidth="1"/>
    <col min="42" max="42" width="9.140625" style="46"/>
    <col min="43" max="43" width="4" style="46" customWidth="1"/>
    <col min="44" max="44" width="9.140625" style="46"/>
    <col min="45" max="45" width="3.5703125" style="46" customWidth="1"/>
    <col min="46" max="46" width="9.140625" style="46"/>
    <col min="47" max="47" width="3.7109375" style="46" customWidth="1"/>
    <col min="48" max="48" width="9.140625" style="46"/>
    <col min="49" max="49" width="3.42578125" style="46" customWidth="1"/>
    <col min="50" max="50" width="9.140625" style="46"/>
    <col min="51" max="51" width="3.5703125" style="46" customWidth="1"/>
    <col min="52" max="52" width="9.140625" style="46"/>
    <col min="53" max="53" width="3.5703125" style="46" customWidth="1"/>
    <col min="54" max="54" width="9.140625" style="46"/>
    <col min="55" max="55" width="4.28515625" style="46" customWidth="1"/>
    <col min="56" max="16384" width="9.140625" style="46"/>
  </cols>
  <sheetData>
    <row r="2" spans="2:57" ht="14.25" x14ac:dyDescent="0.2">
      <c r="B2" s="73"/>
      <c r="C2" s="74" t="s">
        <v>27</v>
      </c>
      <c r="D2" s="75"/>
      <c r="E2" s="75"/>
      <c r="F2" s="75"/>
      <c r="G2" s="75"/>
      <c r="H2" s="75"/>
      <c r="I2" s="133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 t="s">
        <v>0</v>
      </c>
      <c r="W2" s="131"/>
      <c r="X2" s="131" t="s">
        <v>1</v>
      </c>
      <c r="Y2" s="131"/>
      <c r="Z2" s="131" t="s">
        <v>2</v>
      </c>
      <c r="AA2" s="131"/>
      <c r="AB2" s="131" t="s">
        <v>3</v>
      </c>
      <c r="AC2" s="131"/>
      <c r="AD2" s="131" t="s">
        <v>4</v>
      </c>
      <c r="AE2" s="131"/>
      <c r="AF2" s="131" t="s">
        <v>10</v>
      </c>
      <c r="AG2" s="131"/>
      <c r="AH2" s="131" t="s">
        <v>5</v>
      </c>
      <c r="AI2" s="131"/>
      <c r="AJ2" s="131" t="s">
        <v>11</v>
      </c>
      <c r="AK2" s="131"/>
      <c r="AL2" s="131"/>
      <c r="AM2" s="135"/>
      <c r="AN2" s="135"/>
      <c r="AO2" s="75"/>
      <c r="AP2" s="75"/>
      <c r="AQ2" s="75"/>
      <c r="AR2" s="75"/>
      <c r="AS2" s="75"/>
      <c r="AT2" s="75"/>
      <c r="AU2" s="75"/>
      <c r="AV2" s="75"/>
      <c r="AW2" s="75"/>
      <c r="AX2" s="75"/>
      <c r="AY2" s="75"/>
      <c r="AZ2" s="75"/>
      <c r="BA2" s="75"/>
      <c r="BB2" s="146" t="str">
        <f>Stock!$G$1</f>
        <v>│</v>
      </c>
      <c r="BC2" s="146"/>
      <c r="BD2" s="147" t="s">
        <v>38</v>
      </c>
    </row>
    <row r="3" spans="2:57" x14ac:dyDescent="0.2">
      <c r="B3" s="42"/>
      <c r="C3" s="58"/>
      <c r="D3" s="76"/>
      <c r="E3" s="76"/>
      <c r="F3" s="76"/>
      <c r="G3" s="76"/>
      <c r="H3" s="76"/>
      <c r="I3" s="134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2"/>
      <c r="AL3" s="132"/>
      <c r="AM3" s="136"/>
      <c r="AN3" s="13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7"/>
    </row>
    <row r="4" spans="2:57" x14ac:dyDescent="0.2">
      <c r="B4" s="42"/>
      <c r="C4" s="76"/>
      <c r="D4" s="76"/>
      <c r="E4" s="76"/>
      <c r="F4" s="76"/>
      <c r="G4" s="76"/>
      <c r="H4" s="76"/>
      <c r="I4" s="134"/>
      <c r="J4" s="132">
        <f ca="1">INDIRECT(L4)</f>
        <v>5.3941242064639532</v>
      </c>
      <c r="K4" s="132"/>
      <c r="L4" s="132" t="str">
        <f>wkgs!D3</f>
        <v>n77</v>
      </c>
      <c r="M4" s="132"/>
      <c r="N4" s="132">
        <f ca="1">INDIRECT(P4)</f>
        <v>7.8122709573835483</v>
      </c>
      <c r="O4" s="132"/>
      <c r="P4" s="132" t="str">
        <f>wkgs!D4</f>
        <v>p75</v>
      </c>
      <c r="Q4" s="132"/>
      <c r="R4" s="132">
        <f ca="1">INDIRECT(T4)</f>
        <v>3.0155581965851916</v>
      </c>
      <c r="S4" s="132"/>
      <c r="T4" s="132" t="str">
        <f>wkgs!D5</f>
        <v>p79</v>
      </c>
      <c r="U4" s="132"/>
      <c r="V4" s="132">
        <f>Stock!O2</f>
        <v>400</v>
      </c>
      <c r="W4" s="132"/>
      <c r="X4" s="132">
        <f>Stock!Q2</f>
        <v>1.0447376961940817</v>
      </c>
      <c r="Y4" s="132"/>
      <c r="Z4" s="132">
        <f>1/X4</f>
        <v>0.95717805880168916</v>
      </c>
      <c r="AA4" s="132"/>
      <c r="AB4" s="132">
        <f>Stock!U2</f>
        <v>26</v>
      </c>
      <c r="AC4" s="132"/>
      <c r="AD4" s="132">
        <f>Stock!W2</f>
        <v>400</v>
      </c>
      <c r="AE4" s="132"/>
      <c r="AF4" s="132">
        <f>Inputs!C51</f>
        <v>1.9230769230769232E-2</v>
      </c>
      <c r="AG4" s="132"/>
      <c r="AH4" s="132">
        <f>Inputs!C54</f>
        <v>1.000661784781395</v>
      </c>
      <c r="AI4" s="132"/>
      <c r="AJ4" s="132">
        <f>Inputs!C55</f>
        <v>0.4966183880460408</v>
      </c>
      <c r="AK4" s="132"/>
      <c r="AL4" s="132"/>
      <c r="AM4" s="136"/>
      <c r="AN4" s="13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43"/>
    </row>
    <row r="5" spans="2:57" x14ac:dyDescent="0.2">
      <c r="B5" s="42"/>
      <c r="C5" s="159" t="s">
        <v>438</v>
      </c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7"/>
      <c r="Q5" s="157"/>
      <c r="R5" s="157"/>
      <c r="S5" s="157"/>
      <c r="T5" s="157"/>
      <c r="U5" s="57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43"/>
    </row>
    <row r="6" spans="2:57" x14ac:dyDescent="0.2">
      <c r="B6" s="42"/>
      <c r="C6" s="159" t="s">
        <v>442</v>
      </c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P6" s="157"/>
      <c r="Q6" s="157"/>
      <c r="R6" s="157"/>
      <c r="S6" s="157"/>
      <c r="T6" s="157"/>
      <c r="U6" s="76"/>
      <c r="V6" s="76"/>
      <c r="W6" s="76"/>
      <c r="X6" s="76"/>
      <c r="Y6" s="76"/>
      <c r="Z6" s="76"/>
      <c r="AA6" s="76"/>
      <c r="AB6" s="76"/>
      <c r="AC6" s="76"/>
      <c r="AD6" s="76"/>
      <c r="AE6" s="76"/>
      <c r="AF6" s="76"/>
      <c r="AG6" s="76"/>
      <c r="AH6" s="76"/>
      <c r="AI6" s="76"/>
      <c r="AJ6" s="76"/>
      <c r="AK6" s="76"/>
      <c r="AL6" s="76"/>
      <c r="AM6" s="76"/>
      <c r="AN6" s="76"/>
      <c r="AO6" s="76"/>
      <c r="AP6" s="76"/>
      <c r="AQ6" s="76"/>
      <c r="AR6" s="76"/>
      <c r="AS6" s="76"/>
      <c r="AT6" s="76"/>
      <c r="AU6" s="76"/>
      <c r="AV6" s="76"/>
      <c r="AW6" s="76"/>
      <c r="AX6" s="76"/>
      <c r="AY6" s="76"/>
      <c r="AZ6" s="76"/>
      <c r="BA6" s="76"/>
      <c r="BB6" s="76"/>
      <c r="BC6" s="76"/>
      <c r="BD6" s="43"/>
    </row>
    <row r="7" spans="2:57" x14ac:dyDescent="0.2">
      <c r="B7" s="42"/>
      <c r="C7" s="78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76"/>
      <c r="AG7" s="76"/>
      <c r="AH7" s="76"/>
      <c r="AI7" s="76"/>
      <c r="AJ7" s="76"/>
      <c r="AK7" s="76"/>
      <c r="AL7" s="76"/>
      <c r="AM7" s="76"/>
      <c r="AN7" s="76"/>
      <c r="AO7" s="76"/>
      <c r="AP7" s="76"/>
      <c r="AQ7" s="76"/>
      <c r="AR7" s="76"/>
      <c r="AS7" s="76"/>
      <c r="AT7" s="76"/>
      <c r="AU7" s="76"/>
      <c r="AV7" s="76"/>
      <c r="AW7" s="76"/>
      <c r="AX7" s="76"/>
      <c r="AY7" s="76"/>
      <c r="AZ7" s="76"/>
      <c r="BA7" s="76"/>
      <c r="BB7" s="76"/>
      <c r="BC7" s="76"/>
      <c r="BD7" s="43"/>
    </row>
    <row r="8" spans="2:57" x14ac:dyDescent="0.2">
      <c r="B8" s="42"/>
      <c r="C8" s="78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76"/>
      <c r="V8" s="76"/>
      <c r="W8" s="76"/>
      <c r="X8" s="76"/>
      <c r="Y8" s="76"/>
      <c r="Z8" s="76"/>
      <c r="AA8" s="76"/>
      <c r="AB8" s="76"/>
      <c r="AC8" s="76"/>
      <c r="AD8" s="76"/>
      <c r="AE8" s="76"/>
      <c r="AF8" s="76"/>
      <c r="AG8" s="76"/>
      <c r="AH8" s="76"/>
      <c r="AI8" s="76"/>
      <c r="AJ8" s="76"/>
      <c r="AK8" s="76"/>
      <c r="AL8" s="76"/>
      <c r="AM8" s="76"/>
      <c r="AN8" s="76"/>
      <c r="AO8" s="76"/>
      <c r="AP8" s="76"/>
      <c r="AQ8" s="76"/>
      <c r="AR8" s="76"/>
      <c r="AS8" s="76"/>
      <c r="AT8" s="76"/>
      <c r="AU8" s="76"/>
      <c r="AV8" s="76"/>
      <c r="AW8" s="76"/>
      <c r="AX8" s="76"/>
      <c r="AY8" s="76"/>
      <c r="AZ8" s="76"/>
      <c r="BA8" s="76"/>
      <c r="BB8" s="76"/>
      <c r="BC8" s="76"/>
      <c r="BD8" s="43"/>
    </row>
    <row r="9" spans="2:57" x14ac:dyDescent="0.2">
      <c r="B9" s="42"/>
      <c r="C9" s="78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  <c r="AN9" s="76"/>
      <c r="AO9" s="76"/>
      <c r="AP9" s="76"/>
      <c r="AQ9" s="76"/>
      <c r="AR9" s="76"/>
      <c r="AS9" s="76"/>
      <c r="AT9" s="76"/>
      <c r="AU9" s="76"/>
      <c r="AV9" s="76"/>
      <c r="AW9" s="76"/>
      <c r="AX9" s="76"/>
      <c r="AY9" s="76"/>
      <c r="AZ9" s="76"/>
      <c r="BA9" s="79"/>
      <c r="BB9" s="76"/>
      <c r="BC9" s="76"/>
      <c r="BD9" s="43"/>
    </row>
    <row r="10" spans="2:57" x14ac:dyDescent="0.2">
      <c r="B10" s="42"/>
      <c r="C10" s="78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9"/>
      <c r="BB10" s="76"/>
      <c r="BC10" s="76"/>
      <c r="BD10" s="43"/>
    </row>
    <row r="11" spans="2:57" x14ac:dyDescent="0.2">
      <c r="B11" s="42"/>
      <c r="C11" s="58" t="s">
        <v>12</v>
      </c>
      <c r="D11" s="76">
        <v>0</v>
      </c>
      <c r="E11" s="76"/>
      <c r="F11" s="76">
        <v>1</v>
      </c>
      <c r="G11" s="76"/>
      <c r="H11" s="76">
        <f>IF(F11&lt;$AB$4,F11+1,"")</f>
        <v>2</v>
      </c>
      <c r="I11" s="76"/>
      <c r="J11" s="76">
        <f>IF(H11&lt;$AB$4,H11+1,"")</f>
        <v>3</v>
      </c>
      <c r="K11" s="76"/>
      <c r="L11" s="76">
        <f>IF(J11&lt;$AB$4,J11+1,"")</f>
        <v>4</v>
      </c>
      <c r="M11" s="76"/>
      <c r="N11" s="76">
        <f>IF(L11&lt;$AB$4,L11+1,"")</f>
        <v>5</v>
      </c>
      <c r="O11" s="76"/>
      <c r="P11" s="76">
        <f>IF(N11&lt;$AB$4,N11+1,"")</f>
        <v>6</v>
      </c>
      <c r="Q11" s="76"/>
      <c r="R11" s="76">
        <f>IF(P11&lt;$AB$4,P11+1,"")</f>
        <v>7</v>
      </c>
      <c r="S11" s="76"/>
      <c r="T11" s="76">
        <f>IF(R11&lt;$AB$4,R11+1,"")</f>
        <v>8</v>
      </c>
      <c r="U11" s="76"/>
      <c r="V11" s="76">
        <f>IF(T11&lt;$AB$4,T11+1,"")</f>
        <v>9</v>
      </c>
      <c r="W11" s="76"/>
      <c r="X11" s="76">
        <f>IF(V11&lt;$AB$4,V11+1,"")</f>
        <v>10</v>
      </c>
      <c r="Y11" s="76"/>
      <c r="Z11" s="76">
        <f>IF(X11&lt;$AB$4,X11+1,"")</f>
        <v>11</v>
      </c>
      <c r="AA11" s="76"/>
      <c r="AB11" s="76">
        <f>IF(Z11&lt;$AB$4,Z11+1,"")</f>
        <v>12</v>
      </c>
      <c r="AC11" s="76"/>
      <c r="AD11" s="76">
        <f>IF(AB11&lt;$AB$4,AB11+1,"")</f>
        <v>13</v>
      </c>
      <c r="AE11" s="76"/>
      <c r="AF11" s="76">
        <f>IF(AD11&lt;$AB$4,AD11+1,"")</f>
        <v>14</v>
      </c>
      <c r="AG11" s="76"/>
      <c r="AH11" s="76">
        <f>IF(AF11&lt;$AB$4,AF11+1,"")</f>
        <v>15</v>
      </c>
      <c r="AI11" s="76"/>
      <c r="AJ11" s="76">
        <f>IF(AH11&lt;$AB$4,AH11+1,"")</f>
        <v>16</v>
      </c>
      <c r="AK11" s="76"/>
      <c r="AL11" s="76">
        <f>IF(AJ11&lt;$AB$4,AJ11+1,"")</f>
        <v>17</v>
      </c>
      <c r="AM11" s="76"/>
      <c r="AN11" s="76">
        <f>IF(AL11&lt;$AB$4,AL11+1,"")</f>
        <v>18</v>
      </c>
      <c r="AO11" s="76"/>
      <c r="AP11" s="76">
        <f>IF(AN11&lt;$AB$4,AN11+1,"")</f>
        <v>19</v>
      </c>
      <c r="AQ11" s="76"/>
      <c r="AR11" s="76">
        <f>IF(AP11&lt;$AB$4,AP11+1,"")</f>
        <v>20</v>
      </c>
      <c r="AS11" s="76"/>
      <c r="AT11" s="76">
        <f>IF(AR11&lt;$AB$4,AR11+1,"")</f>
        <v>21</v>
      </c>
      <c r="AU11" s="76"/>
      <c r="AV11" s="76">
        <f>IF(AT11&lt;$AB$4,AT11+1,"")</f>
        <v>22</v>
      </c>
      <c r="AW11" s="76"/>
      <c r="AX11" s="76">
        <f>IF(AV11&lt;$AB$4,AV11+1,"")</f>
        <v>23</v>
      </c>
      <c r="AY11" s="76"/>
      <c r="AZ11" s="76">
        <f>IF(AX11&lt;$AB$4,AX11+1,"")</f>
        <v>24</v>
      </c>
      <c r="BA11" s="79"/>
      <c r="BB11" s="76">
        <f>IF(AZ11&lt;$AB$4,AZ11+1,"")</f>
        <v>25</v>
      </c>
      <c r="BC11" s="76"/>
      <c r="BD11" s="43">
        <f>IF(BB11&lt;$AB$4,BB11+1,"")</f>
        <v>26</v>
      </c>
    </row>
    <row r="12" spans="2:57" x14ac:dyDescent="0.2">
      <c r="B12" s="19"/>
      <c r="C12" s="38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68"/>
      <c r="BB12" s="20"/>
      <c r="BC12" s="20"/>
      <c r="BD12" s="80"/>
    </row>
    <row r="13" spans="2:57" x14ac:dyDescent="0.2">
      <c r="B13" s="19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68"/>
      <c r="BB13" s="20"/>
      <c r="BC13" s="20"/>
      <c r="BD13" s="80"/>
    </row>
    <row r="14" spans="2:57" x14ac:dyDescent="0.2">
      <c r="B14" s="19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68"/>
      <c r="BB14" s="20"/>
      <c r="BC14" s="20"/>
      <c r="BD14" s="80"/>
    </row>
    <row r="15" spans="2:57" x14ac:dyDescent="0.2">
      <c r="B15" s="19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68"/>
      <c r="BB15" s="21"/>
      <c r="BC15" s="68"/>
      <c r="BD15" s="22">
        <f>IF(BD$11=$AB$4,MAX(Stock!BC14-$AD$4,0),IF(BD$11&lt;$AB$4,($AJ$4*(BE13-BE17)+BE17)/$AH$4,""))</f>
        <v>848.09857182495921</v>
      </c>
      <c r="BE15" s="71"/>
    </row>
    <row r="16" spans="2:57" ht="13.5" x14ac:dyDescent="0.2">
      <c r="B16" s="19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68"/>
      <c r="BB16" s="21"/>
      <c r="BC16" s="81" t="str">
        <f>IF(BD$11&gt;$AB$4,"",$BD$2)</f>
        <v>│</v>
      </c>
      <c r="BD16" s="22"/>
      <c r="BE16" s="71"/>
    </row>
    <row r="17" spans="2:57" x14ac:dyDescent="0.2">
      <c r="B17" s="19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68"/>
      <c r="BB17" s="21">
        <f>IF(BB$11=$AB$4,MAX(Stock!BA16-$AD$4,0),IF(BB$11&lt;$AB$4,($AJ$4*(BD15-BD19)+BD19)/$AH$4,""))</f>
        <v>794.91710701735144</v>
      </c>
      <c r="BC17" s="82">
        <f>IF(BB$11&lt;$AB$4,751,"")</f>
        <v>751</v>
      </c>
      <c r="BD17" s="22"/>
      <c r="BE17" s="71"/>
    </row>
    <row r="18" spans="2:57" ht="13.5" x14ac:dyDescent="0.2">
      <c r="B18" s="19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81" t="str">
        <f>IF(BB$11&gt;$AB$4,"",$BD$2)</f>
        <v>│</v>
      </c>
      <c r="BB18" s="21"/>
      <c r="BC18" s="26" t="str">
        <f>IF(BD$11&gt;$AB$4,"",Stock!$G$1)</f>
        <v>│</v>
      </c>
      <c r="BD18" s="22"/>
      <c r="BE18" s="71"/>
    </row>
    <row r="19" spans="2:57" x14ac:dyDescent="0.2">
      <c r="B19" s="19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68"/>
      <c r="AZ19" s="21">
        <f>IF(AZ$11=$AB$4,MAX(Stock!AY18-$AD$4,0),IF(AZ$11&lt;$AB$4,($AJ$4*(BB17-BB21)+BB21)/$AH$4,""))</f>
        <v>744.02412888342985</v>
      </c>
      <c r="BA19" s="82">
        <f>IF(AZ$11&lt;$AB$4,721,"")</f>
        <v>721</v>
      </c>
      <c r="BB19" s="21"/>
      <c r="BC19" s="68"/>
      <c r="BD19" s="22">
        <f>IF(BD$11=$AB$4,MAX(Stock!BC18-$AD$4,0),IF(BD$11&lt;$AB$4,($AJ$4*(BE17-BE21)+BE21)/$AH$4,""))</f>
        <v>743.49522614587795</v>
      </c>
      <c r="BE19" s="71"/>
    </row>
    <row r="20" spans="2:57" ht="13.5" x14ac:dyDescent="0.2">
      <c r="B20" s="19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81" t="str">
        <f>IF(AZ$11&gt;$AB$4,"",$BD$2)</f>
        <v>│</v>
      </c>
      <c r="AZ20" s="21"/>
      <c r="BA20" s="26" t="str">
        <f>IF(BB$11&gt;$AB$4,"",Stock!$G$1)</f>
        <v>│</v>
      </c>
      <c r="BB20" s="21"/>
      <c r="BC20" s="81" t="str">
        <f>IF(BD$11&gt;$AB$4,"",$BD$2)</f>
        <v>│</v>
      </c>
      <c r="BD20" s="22"/>
      <c r="BE20" s="71"/>
    </row>
    <row r="21" spans="2:57" x14ac:dyDescent="0.2">
      <c r="B21" s="19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68"/>
      <c r="AV21" s="21"/>
      <c r="AW21" s="83"/>
      <c r="AX21" s="21">
        <f>IF(AX$11=$AB$4,MAX(Stock!AW20-$AD$4,0),IF(AX$11&lt;$AB$4,($AJ$4*(AZ19-AZ23)+AZ23)/$AH$4,""))</f>
        <v>695.32163260534026</v>
      </c>
      <c r="AY21" s="82">
        <f>IF(AX$11&lt;$AB$4,691,"")</f>
        <v>691</v>
      </c>
      <c r="AZ21" s="21"/>
      <c r="BA21" s="68"/>
      <c r="BB21" s="21">
        <f>IF(BB$11=$AB$4,MAX(Stock!BA20-$AD$4,0),IF(BB$11&lt;$AB$4,($AJ$4*(BD19-BD23)+BD23)/$AH$4,""))</f>
        <v>694.79307965608643</v>
      </c>
      <c r="BC21" s="82">
        <f>IF(BB$11&lt;$AB$4,752,"")</f>
        <v>752</v>
      </c>
      <c r="BD21" s="22"/>
      <c r="BE21" s="71"/>
    </row>
    <row r="22" spans="2:57" ht="13.5" x14ac:dyDescent="0.2">
      <c r="B22" s="19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5"/>
      <c r="AT22" s="21"/>
      <c r="AU22" s="26"/>
      <c r="AV22" s="21"/>
      <c r="AW22" s="84" t="str">
        <f>IF(AX$11&gt;$AB$4,"",$BD$2)</f>
        <v>│</v>
      </c>
      <c r="AX22" s="21"/>
      <c r="AY22" s="26" t="str">
        <f>IF(AZ$11&gt;$AB$4,"",Stock!$G$1)</f>
        <v>│</v>
      </c>
      <c r="AZ22" s="21"/>
      <c r="BA22" s="81" t="str">
        <f>IF(BB$11&gt;$AB$4,"",$BD$2)</f>
        <v>│</v>
      </c>
      <c r="BB22" s="21"/>
      <c r="BC22" s="26" t="str">
        <f>IF(BD$11&gt;$AB$4,"",Stock!$G$1)</f>
        <v>│</v>
      </c>
      <c r="BD22" s="22"/>
      <c r="BE22" s="71"/>
    </row>
    <row r="23" spans="2:57" x14ac:dyDescent="0.2">
      <c r="B23" s="19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68"/>
      <c r="AT23" s="21"/>
      <c r="AU23" s="68"/>
      <c r="AV23" s="21">
        <f>IF(AV$11=$AB$4,MAX(Stock!AU22-$AD$4,0),IF(AV$11&lt;$AB$4,($AJ$4*(AX21-AX25)+AX25)/$AH$4,""))</f>
        <v>648.71581012665422</v>
      </c>
      <c r="AW23" s="82">
        <f>IF(AV$11&lt;$AB$4,661,"")</f>
        <v>661</v>
      </c>
      <c r="AX23" s="21"/>
      <c r="AY23" s="68"/>
      <c r="AZ23" s="21">
        <f>IF(AZ$11=$AB$4,MAX(Stock!AY22-$AD$4,0),IF(AZ$11&lt;$AB$4,($AJ$4*(BB21-BB25)+BB25)/$AH$4,""))</f>
        <v>648.18760673436691</v>
      </c>
      <c r="BA23" s="82">
        <f>IF(AZ$11&lt;$AB$4,722,"")</f>
        <v>722</v>
      </c>
      <c r="BB23" s="21"/>
      <c r="BC23" s="68"/>
      <c r="BD23" s="22">
        <f>IF(BD$11=$AB$4,MAX(Stock!BC22-$AD$4,0),IF(BD$11&lt;$AB$4,($AJ$4*(BE21-BE25)+BE25)/$AH$4,""))</f>
        <v>647.65870399681512</v>
      </c>
      <c r="BE23" s="71"/>
    </row>
    <row r="24" spans="2:57" ht="13.5" x14ac:dyDescent="0.2">
      <c r="B24" s="19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68"/>
      <c r="AR24" s="21"/>
      <c r="AS24" s="68"/>
      <c r="AT24" s="21"/>
      <c r="AU24" s="81" t="str">
        <f>IF(AV$11&gt;$AB$4,"",$BD$2)</f>
        <v>│</v>
      </c>
      <c r="AV24" s="21"/>
      <c r="AW24" s="85" t="str">
        <f>IF(AX$11&gt;$AB$4,"",Stock!$G$1)</f>
        <v>│</v>
      </c>
      <c r="AX24" s="21"/>
      <c r="AY24" s="81" t="str">
        <f>IF(AZ$11&gt;$AB$4,"",$BD$2)</f>
        <v>│</v>
      </c>
      <c r="AZ24" s="21"/>
      <c r="BA24" s="26" t="str">
        <f>IF(BB$11&gt;$AB$4,"",Stock!$G$1)</f>
        <v>│</v>
      </c>
      <c r="BB24" s="21"/>
      <c r="BC24" s="81" t="str">
        <f>IF(BD$11&gt;$AB$4,"",$BD$2)</f>
        <v>│</v>
      </c>
      <c r="BD24" s="22"/>
      <c r="BE24" s="71"/>
    </row>
    <row r="25" spans="2:57" x14ac:dyDescent="0.2">
      <c r="B25" s="19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68"/>
      <c r="AR25" s="21"/>
      <c r="AS25" s="68"/>
      <c r="AT25" s="21">
        <f>IF(AT$11=$AB$4,MAX(Stock!AS24-$AD$4,0),IF(AT$11&lt;$AB$4,($AJ$4*(AV23-AV27)+AV27)/$AH$4,""))</f>
        <v>604.11687043889447</v>
      </c>
      <c r="AU25" s="82">
        <f>IF(AT$11&lt;$AB$4,631,"")</f>
        <v>631</v>
      </c>
      <c r="AV25" s="21"/>
      <c r="AW25" s="83"/>
      <c r="AX25" s="21">
        <f>IF(AX$11=$AB$4,MAX(Stock!AW24-$AD$4,0),IF(AX$11&lt;$AB$4,($AJ$4*(AZ23-AZ27)+AZ27)/$AH$4,""))</f>
        <v>603.58901637239512</v>
      </c>
      <c r="AY25" s="82">
        <f>IF(AX$11&lt;$AB$4,692,"")</f>
        <v>692</v>
      </c>
      <c r="AZ25" s="21"/>
      <c r="BA25" s="68"/>
      <c r="BB25" s="21">
        <f>IF(BB$11=$AB$4,MAX(Stock!BA24-$AD$4,0),IF(BB$11&lt;$AB$4,($AJ$4*(BD23-BD27)+BD27)/$AH$4,""))</f>
        <v>603.0604634231413</v>
      </c>
      <c r="BC25" s="82">
        <f>IF(BB$11&lt;$AB$4,753,"")</f>
        <v>753</v>
      </c>
      <c r="BD25" s="22"/>
      <c r="BE25" s="71"/>
    </row>
    <row r="26" spans="2:57" ht="13.5" x14ac:dyDescent="0.2">
      <c r="B26" s="19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5"/>
      <c r="AP26" s="21"/>
      <c r="AQ26" s="26"/>
      <c r="AR26" s="21"/>
      <c r="AS26" s="81" t="str">
        <f>IF(AT$11&gt;$AB$4,"",$BD$2)</f>
        <v>│</v>
      </c>
      <c r="AT26" s="21"/>
      <c r="AU26" s="26" t="str">
        <f>IF(AV$11&gt;$AB$4,"",Stock!$G$1)</f>
        <v>│</v>
      </c>
      <c r="AV26" s="21"/>
      <c r="AW26" s="84" t="str">
        <f>IF(AX$11&gt;$AB$4,"",$BD$2)</f>
        <v>│</v>
      </c>
      <c r="AX26" s="21"/>
      <c r="AY26" s="26" t="str">
        <f>IF(AZ$11&gt;$AB$4,"",Stock!$G$1)</f>
        <v>│</v>
      </c>
      <c r="AZ26" s="21"/>
      <c r="BA26" s="81" t="str">
        <f>IF(BB$11&gt;$AB$4,"",$BD$2)</f>
        <v>│</v>
      </c>
      <c r="BB26" s="21"/>
      <c r="BC26" s="26" t="str">
        <f>IF(BD$11&gt;$AB$4,"",Stock!$G$1)</f>
        <v>│</v>
      </c>
      <c r="BD26" s="22"/>
      <c r="BE26" s="71"/>
    </row>
    <row r="27" spans="2:57" x14ac:dyDescent="0.2">
      <c r="B27" s="19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68"/>
      <c r="AR27" s="21">
        <f>IF(AR$11=$AB$4,MAX(Stock!AQ26-$AD$4,0),IF(AR$11&lt;$AB$4,($AJ$4*(AT25-AT29)+AT29)/$AH$4,""))</f>
        <v>561.43886756374059</v>
      </c>
      <c r="AS27" s="82">
        <f>IF(AR$11&lt;$AB$4,601,"")</f>
        <v>601</v>
      </c>
      <c r="AT27" s="21"/>
      <c r="AU27" s="68"/>
      <c r="AV27" s="21">
        <f>IF(AV$11=$AB$4,MAX(Stock!AU26-$AD$4,0),IF(AV$11&lt;$AB$4,($AJ$4*(AX25-AX29)+AX29)/$AH$4,""))</f>
        <v>560.91136259200357</v>
      </c>
      <c r="AW27" s="82">
        <f>IF(AV$11&lt;$AB$4,662,"")</f>
        <v>662</v>
      </c>
      <c r="AX27" s="21"/>
      <c r="AY27" s="68"/>
      <c r="AZ27" s="21">
        <f>IF(AZ$11=$AB$4,MAX(Stock!AY26-$AD$4,0),IF(AZ$11&lt;$AB$4,($AJ$4*(BB25-BB29)+BB29)/$AH$4,""))</f>
        <v>560.38315919971626</v>
      </c>
      <c r="BA27" s="82">
        <f>IF(AZ$11&lt;$AB$4,723,"")</f>
        <v>723</v>
      </c>
      <c r="BB27" s="21"/>
      <c r="BC27" s="68"/>
      <c r="BD27" s="22">
        <f>IF(BD$11=$AB$4,MAX(Stock!BC26-$AD$4,0),IF(BD$11&lt;$AB$4,($AJ$4*(BE25-BE29)+BE29)/$AH$4,""))</f>
        <v>559.85425646216447</v>
      </c>
      <c r="BE27" s="71"/>
    </row>
    <row r="28" spans="2:57" ht="13.5" x14ac:dyDescent="0.2">
      <c r="B28" s="19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86"/>
      <c r="AJ28" s="21"/>
      <c r="AK28" s="21"/>
      <c r="AL28" s="21"/>
      <c r="AM28" s="21"/>
      <c r="AN28" s="21"/>
      <c r="AO28" s="68"/>
      <c r="AP28" s="21"/>
      <c r="AQ28" s="81" t="str">
        <f>IF(AR$11&gt;$AB$4,"",$BD$2)</f>
        <v>│</v>
      </c>
      <c r="AR28" s="21"/>
      <c r="AS28" s="26" t="str">
        <f>IF(AT$11&gt;$AB$4,"",Stock!$G$1)</f>
        <v>│</v>
      </c>
      <c r="AT28" s="21"/>
      <c r="AU28" s="81" t="str">
        <f>IF(AV$11&gt;$AB$4,"",$BD$2)</f>
        <v>│</v>
      </c>
      <c r="AV28" s="21"/>
      <c r="AW28" s="85" t="str">
        <f>IF(AX$11&gt;$AB$4,"",Stock!$G$1)</f>
        <v>│</v>
      </c>
      <c r="AX28" s="21"/>
      <c r="AY28" s="81" t="str">
        <f>IF(AZ$11&gt;$AB$4,"",$BD$2)</f>
        <v>│</v>
      </c>
      <c r="AZ28" s="21"/>
      <c r="BA28" s="26" t="str">
        <f>IF(BB$11&gt;$AB$4,"",Stock!$G$1)</f>
        <v>│</v>
      </c>
      <c r="BB28" s="21"/>
      <c r="BC28" s="81" t="str">
        <f>IF(BD$11&gt;$AB$4,"",$BD$2)</f>
        <v>│</v>
      </c>
      <c r="BD28" s="22"/>
      <c r="BE28" s="71"/>
    </row>
    <row r="29" spans="2:57" x14ac:dyDescent="0.2">
      <c r="B29" s="19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86"/>
      <c r="AJ29" s="21"/>
      <c r="AK29" s="21"/>
      <c r="AL29" s="21"/>
      <c r="AM29" s="21"/>
      <c r="AN29" s="21"/>
      <c r="AO29" s="68"/>
      <c r="AP29" s="21">
        <f>IF(AP$11=$AB$4,MAX(Stock!AO28-$AD$4,0),IF(AP$11&lt;$AB$4,($AJ$4*(AR27-AR31)+AR31)/$AH$4,""))</f>
        <v>520.59953590137025</v>
      </c>
      <c r="AQ29" s="82">
        <f>IF(AP$11&lt;$AB$4,571,"")</f>
        <v>571</v>
      </c>
      <c r="AR29" s="21"/>
      <c r="AS29" s="68"/>
      <c r="AT29" s="21">
        <f>IF(AT$11=$AB$4,MAX(Stock!AS28-$AD$4,0),IF(AT$11&lt;$AB$4,($AJ$4*(AV27-AV31)+AV31)/$AH$4,""))</f>
        <v>520.07237979352294</v>
      </c>
      <c r="AU29" s="82">
        <f>IF(AT$11&lt;$AB$4,632,"")</f>
        <v>632</v>
      </c>
      <c r="AV29" s="21"/>
      <c r="AW29" s="83"/>
      <c r="AX29" s="21">
        <f>IF(AX$11=$AB$4,MAX(Stock!AW28-$AD$4,0),IF(AX$11&lt;$AB$4,($AJ$4*(AZ27-AZ31)+AZ31)/$AH$4,""))</f>
        <v>519.54452572702348</v>
      </c>
      <c r="AY29" s="82">
        <f>IF(AX$11&lt;$AB$4,693,"")</f>
        <v>693</v>
      </c>
      <c r="AZ29" s="21"/>
      <c r="BA29" s="68"/>
      <c r="BB29" s="21">
        <f>IF(BB$11=$AB$4,MAX(Stock!BA28-$AD$4,0),IF(BB$11&lt;$AB$4,($AJ$4*(BD27-BD31)+BD31)/$AH$4,""))</f>
        <v>519.01597277776966</v>
      </c>
      <c r="BC29" s="82">
        <f>IF(BB$11&lt;$AB$4,754,"")</f>
        <v>754</v>
      </c>
      <c r="BD29" s="22"/>
      <c r="BE29" s="71"/>
    </row>
    <row r="30" spans="2:57" ht="13.5" x14ac:dyDescent="0.2">
      <c r="B30" s="19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86"/>
      <c r="AJ30" s="21"/>
      <c r="AK30" s="21"/>
      <c r="AL30" s="21"/>
      <c r="AM30" s="87"/>
      <c r="AN30" s="21"/>
      <c r="AO30" s="81" t="str">
        <f>IF(AP$11&gt;$AB$4,"",$BD$2)</f>
        <v>│</v>
      </c>
      <c r="AP30" s="21"/>
      <c r="AQ30" s="26" t="str">
        <f>IF(AR$11&gt;$AB$4,"",Stock!$G$1)</f>
        <v>│</v>
      </c>
      <c r="AR30" s="21"/>
      <c r="AS30" s="81" t="str">
        <f>IF(AT$11&gt;$AB$4,"",$BD$2)</f>
        <v>│</v>
      </c>
      <c r="AT30" s="21"/>
      <c r="AU30" s="26" t="str">
        <f>IF(AV$11&gt;$AB$4,"",Stock!$G$1)</f>
        <v>│</v>
      </c>
      <c r="AV30" s="21"/>
      <c r="AW30" s="84" t="str">
        <f>IF(AX$11&gt;$AB$4,"",$BD$2)</f>
        <v>│</v>
      </c>
      <c r="AX30" s="21"/>
      <c r="AY30" s="26" t="str">
        <f>IF(AZ$11&gt;$AB$4,"",Stock!$G$1)</f>
        <v>│</v>
      </c>
      <c r="AZ30" s="21"/>
      <c r="BA30" s="81" t="str">
        <f>IF(BB$11&gt;$AB$4,"",$BD$2)</f>
        <v>│</v>
      </c>
      <c r="BB30" s="21"/>
      <c r="BC30" s="26" t="str">
        <f>IF(BD$11&gt;$AB$4,"",Stock!$G$1)</f>
        <v>│</v>
      </c>
      <c r="BD30" s="22"/>
      <c r="BE30" s="71"/>
    </row>
    <row r="31" spans="2:57" x14ac:dyDescent="0.2">
      <c r="B31" s="19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86"/>
      <c r="AF31" s="21"/>
      <c r="AG31" s="21"/>
      <c r="AH31" s="21"/>
      <c r="AI31" s="86"/>
      <c r="AJ31" s="21"/>
      <c r="AK31" s="21"/>
      <c r="AL31" s="21"/>
      <c r="AM31" s="88"/>
      <c r="AN31" s="21">
        <f>IF(AN$11=$AB$4,MAX(Stock!AM30-$AD$4,0),IF(AN$11&lt;$AB$4,($AJ$4*(AP29-AP33)+AP33)/$AH$4,""))</f>
        <v>481.52013262950487</v>
      </c>
      <c r="AO31" s="82">
        <f>IF(AN$11&lt;$AB$4,541,"")</f>
        <v>541</v>
      </c>
      <c r="AP31" s="21"/>
      <c r="AQ31" s="68"/>
      <c r="AR31" s="21">
        <f>IF(AR$11=$AB$4,MAX(Stock!AQ30-$AD$4,0),IF(AR$11&lt;$AB$4,($AJ$4*(AT29-AT33)+AT33)/$AH$4,""))</f>
        <v>480.99332515482701</v>
      </c>
      <c r="AS31" s="82">
        <f>IF(AR$11&lt;$AB$4,602,"")</f>
        <v>602</v>
      </c>
      <c r="AT31" s="21"/>
      <c r="AU31" s="68"/>
      <c r="AV31" s="21">
        <f>IF(AV$11=$AB$4,MAX(Stock!AU30-$AD$4,0),IF(AV$11&lt;$AB$4,($AJ$4*(AX29-AX33)+AX33)/$AH$4,""))</f>
        <v>480.46582018309005</v>
      </c>
      <c r="AW31" s="82">
        <f>IF(AV$11&lt;$AB$4,663,"")</f>
        <v>663</v>
      </c>
      <c r="AX31" s="21"/>
      <c r="AY31" s="68"/>
      <c r="AZ31" s="21">
        <f>IF(AZ$11=$AB$4,MAX(Stock!AY30-$AD$4,0),IF(AZ$11&lt;$AB$4,($AJ$4*(BB29-BB33)+BB33)/$AH$4,""))</f>
        <v>479.93761679080268</v>
      </c>
      <c r="BA31" s="82">
        <f>IF(AZ$11&lt;$AB$4,724,"")</f>
        <v>724</v>
      </c>
      <c r="BB31" s="21"/>
      <c r="BC31" s="68"/>
      <c r="BD31" s="22">
        <f>IF(BD$11=$AB$4,MAX(Stock!BC30-$AD$4,0),IF(BD$11&lt;$AB$4,($AJ$4*(BE29-BE33)+BE33)/$AH$4,""))</f>
        <v>479.40871405325083</v>
      </c>
      <c r="BE31" s="71"/>
    </row>
    <row r="32" spans="2:57" ht="13.5" x14ac:dyDescent="0.2">
      <c r="B32" s="19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86"/>
      <c r="AF32" s="21"/>
      <c r="AG32" s="21"/>
      <c r="AH32" s="21"/>
      <c r="AI32" s="86"/>
      <c r="AJ32" s="21"/>
      <c r="AK32" s="68"/>
      <c r="AL32" s="21"/>
      <c r="AM32" s="89" t="str">
        <f>IF(AN$11&gt;$AB$4,"",$BD$2)</f>
        <v>│</v>
      </c>
      <c r="AN32" s="21"/>
      <c r="AO32" s="26" t="str">
        <f>IF(AP$11&gt;$AB$4,"",Stock!$G$1)</f>
        <v>│</v>
      </c>
      <c r="AP32" s="21"/>
      <c r="AQ32" s="81" t="str">
        <f>IF(AR$11&gt;$AB$4,"",$BD$2)</f>
        <v>│</v>
      </c>
      <c r="AR32" s="21"/>
      <c r="AS32" s="26" t="str">
        <f>IF(AT$11&gt;$AB$4,"",Stock!$G$1)</f>
        <v>│</v>
      </c>
      <c r="AT32" s="21"/>
      <c r="AU32" s="81" t="str">
        <f>IF(AV$11&gt;$AB$4,"",$BD$2)</f>
        <v>│</v>
      </c>
      <c r="AV32" s="21"/>
      <c r="AW32" s="85" t="str">
        <f>IF(AX$11&gt;$AB$4,"",Stock!$G$1)</f>
        <v>│</v>
      </c>
      <c r="AX32" s="21"/>
      <c r="AY32" s="81" t="str">
        <f>IF(AZ$11&gt;$AB$4,"",$BD$2)</f>
        <v>│</v>
      </c>
      <c r="AZ32" s="21"/>
      <c r="BA32" s="26" t="str">
        <f>IF(BB$11&gt;$AB$4,"",Stock!$G$1)</f>
        <v>│</v>
      </c>
      <c r="BB32" s="21"/>
      <c r="BC32" s="81" t="str">
        <f>IF(BD$11&gt;$AB$4,"",$BD$2)</f>
        <v>│</v>
      </c>
      <c r="BD32" s="22"/>
      <c r="BE32" s="71"/>
    </row>
    <row r="33" spans="2:57" x14ac:dyDescent="0.2">
      <c r="B33" s="19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86"/>
      <c r="AF33" s="21"/>
      <c r="AG33" s="21"/>
      <c r="AH33" s="21"/>
      <c r="AI33" s="86"/>
      <c r="AJ33" s="21"/>
      <c r="AK33" s="68"/>
      <c r="AL33" s="21">
        <f>IF(AL$11=$AB$4,MAX(Stock!AK32-$AD$4,0),IF(AL$11&lt;$AB$4,($AJ$4*(AN31-AN35)+AN35)/$AH$4,""))</f>
        <v>444.12528685123334</v>
      </c>
      <c r="AM33" s="82">
        <f>IF(AL$11&lt;$AB$4,511,"")</f>
        <v>511</v>
      </c>
      <c r="AN33" s="21"/>
      <c r="AO33" s="68"/>
      <c r="AP33" s="21">
        <f>IF(AP$11=$AB$4,MAX(Stock!AO32-$AD$4,0),IF(AP$11&lt;$AB$4,($AJ$4*(AR31-AR35)+AR35)/$AH$4,""))</f>
        <v>443.59882777915738</v>
      </c>
      <c r="AQ33" s="82">
        <f>IF(AP$11&lt;$AB$4,572,"")</f>
        <v>572</v>
      </c>
      <c r="AR33" s="21"/>
      <c r="AS33" s="68"/>
      <c r="AT33" s="21">
        <f>IF(AT$11=$AB$4,MAX(Stock!AS32-$AD$4,0),IF(AT$11&lt;$AB$4,($AJ$4*(AV31-AV35)+AV35)/$AH$4,""))</f>
        <v>443.07167167130996</v>
      </c>
      <c r="AU33" s="82">
        <f>IF(AT$11&lt;$AB$4,633,"")</f>
        <v>633</v>
      </c>
      <c r="AV33" s="21"/>
      <c r="AW33" s="83"/>
      <c r="AX33" s="21">
        <f>IF(AX$11=$AB$4,MAX(Stock!AW32-$AD$4,0),IF(AX$11&lt;$AB$4,($AJ$4*(AZ31-AZ35)+AZ35)/$AH$4,""))</f>
        <v>442.54381760481067</v>
      </c>
      <c r="AY33" s="82">
        <f>IF(AX$11&lt;$AB$4,694,"")</f>
        <v>694</v>
      </c>
      <c r="AZ33" s="21"/>
      <c r="BA33" s="68"/>
      <c r="BB33" s="21">
        <f>IF(BB$11=$AB$4,MAX(Stock!BA32-$AD$4,0),IF(BB$11&lt;$AB$4,($AJ$4*(BD31-BD35)+BD35)/$AH$4,""))</f>
        <v>442.01526465555673</v>
      </c>
      <c r="BC33" s="82">
        <f>IF(BB$11&lt;$AB$4,755,"")</f>
        <v>755</v>
      </c>
      <c r="BD33" s="22"/>
      <c r="BE33" s="71"/>
    </row>
    <row r="34" spans="2:57" ht="13.5" x14ac:dyDescent="0.2">
      <c r="B34" s="19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86"/>
      <c r="AF34" s="21"/>
      <c r="AG34" s="21"/>
      <c r="AH34" s="21"/>
      <c r="AI34" s="86"/>
      <c r="AJ34" s="21"/>
      <c r="AK34" s="81" t="str">
        <f>IF(AL$11&gt;$AB$4,"",$BD$2)</f>
        <v>│</v>
      </c>
      <c r="AL34" s="21"/>
      <c r="AM34" s="87" t="str">
        <f>IF(AN$11&gt;$AB$4,"",Stock!$G$1)</f>
        <v>│</v>
      </c>
      <c r="AN34" s="21"/>
      <c r="AO34" s="81" t="str">
        <f>IF(AP$11&gt;$AB$4,"",$BD$2)</f>
        <v>│</v>
      </c>
      <c r="AP34" s="21"/>
      <c r="AQ34" s="26" t="str">
        <f>IF(AR$11&gt;$AB$4,"",Stock!$G$1)</f>
        <v>│</v>
      </c>
      <c r="AR34" s="21"/>
      <c r="AS34" s="81" t="str">
        <f>IF(AT$11&gt;$AB$4,"",$BD$2)</f>
        <v>│</v>
      </c>
      <c r="AT34" s="21"/>
      <c r="AU34" s="26" t="str">
        <f>IF(AV$11&gt;$AB$4,"",Stock!$G$1)</f>
        <v>│</v>
      </c>
      <c r="AV34" s="21"/>
      <c r="AW34" s="84" t="str">
        <f>IF(AX$11&gt;$AB$4,"",$BD$2)</f>
        <v>│</v>
      </c>
      <c r="AX34" s="21"/>
      <c r="AY34" s="26" t="str">
        <f>IF(AZ$11&gt;$AB$4,"",Stock!$G$1)</f>
        <v>│</v>
      </c>
      <c r="AZ34" s="21"/>
      <c r="BA34" s="81" t="str">
        <f>IF(BB$11&gt;$AB$4,"",$BD$2)</f>
        <v>│</v>
      </c>
      <c r="BB34" s="21"/>
      <c r="BC34" s="26" t="str">
        <f>IF(BD$11&gt;$AB$4,"",Stock!$G$1)</f>
        <v>│</v>
      </c>
      <c r="BD34" s="22"/>
      <c r="BE34" s="71"/>
    </row>
    <row r="35" spans="2:57" x14ac:dyDescent="0.2">
      <c r="B35" s="19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86"/>
      <c r="AF35" s="21"/>
      <c r="AG35" s="21"/>
      <c r="AH35" s="21"/>
      <c r="AI35" s="90"/>
      <c r="AJ35" s="21">
        <f>IF(AJ$11=$AB$4,MAX(Stock!AI34-$AD$4,0),IF(AJ$11&lt;$AB$4,($AJ$4*(AL33-AL37)+AL37)/$AH$4,""))</f>
        <v>408.34285520261881</v>
      </c>
      <c r="AK35" s="82">
        <f>IF(AJ$11&lt;$AB$4,481,"")</f>
        <v>481</v>
      </c>
      <c r="AL35" s="21"/>
      <c r="AM35" s="88"/>
      <c r="AN35" s="21">
        <f>IF(AN$11=$AB$4,MAX(Stock!AM34-$AD$4,0),IF(AN$11&lt;$AB$4,($AJ$4*(AP33-AP37)+AP37)/$AH$4,""))</f>
        <v>407.81674430272972</v>
      </c>
      <c r="AO35" s="82">
        <f>IF(AN$11&lt;$AB$4,542,"")</f>
        <v>542</v>
      </c>
      <c r="AP35" s="21"/>
      <c r="AQ35" s="68"/>
      <c r="AR35" s="21">
        <f>IF(AR$11=$AB$4,MAX(Stock!AQ34-$AD$4,0),IF(AR$11&lt;$AB$4,($AJ$4*(AT33-AT37)+AT37)/$AH$4,""))</f>
        <v>407.28993682805174</v>
      </c>
      <c r="AS35" s="82">
        <f>IF(AR$11&lt;$AB$4,603,"")</f>
        <v>603</v>
      </c>
      <c r="AT35" s="21"/>
      <c r="AU35" s="68"/>
      <c r="AV35" s="21">
        <f>IF(AV$11=$AB$4,MAX(Stock!AU34-$AD$4,0),IF(AV$11&lt;$AB$4,($AJ$4*(AX33-AX37)+AX37)/$AH$4,""))</f>
        <v>406.76243185631478</v>
      </c>
      <c r="AW35" s="82">
        <f>IF(AV$11&lt;$AB$4,664,"")</f>
        <v>664</v>
      </c>
      <c r="AX35" s="21"/>
      <c r="AY35" s="68"/>
      <c r="AZ35" s="21">
        <f>IF(AZ$11=$AB$4,MAX(Stock!AY34-$AD$4,0),IF(AZ$11&lt;$AB$4,($AJ$4*(BB33-BB37)+BB37)/$AH$4,""))</f>
        <v>406.23422846402741</v>
      </c>
      <c r="BA35" s="82">
        <f>IF(AZ$11&lt;$AB$4,725,"")</f>
        <v>725</v>
      </c>
      <c r="BB35" s="21"/>
      <c r="BC35" s="68"/>
      <c r="BD35" s="22">
        <f>IF(BD$11=$AB$4,MAX(Stock!BC34-$AD$4,0),IF(BD$11&lt;$AB$4,($AJ$4*(BE33-BE37)+BE37)/$AH$4,""))</f>
        <v>405.70532572647551</v>
      </c>
      <c r="BE35" s="71"/>
    </row>
    <row r="36" spans="2:57" ht="13.5" x14ac:dyDescent="0.2">
      <c r="B36" s="19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86"/>
      <c r="AF36" s="21"/>
      <c r="AG36" s="90"/>
      <c r="AH36" s="21"/>
      <c r="AI36" s="91" t="str">
        <f>IF(AJ$11&gt;$AB$4,"",$BD$2)</f>
        <v>│</v>
      </c>
      <c r="AJ36" s="21"/>
      <c r="AK36" s="26" t="str">
        <f>IF(AL$11&gt;$AB$4,"",Stock!$G$1)</f>
        <v>│</v>
      </c>
      <c r="AL36" s="21"/>
      <c r="AM36" s="89" t="str">
        <f>IF(AN$11&gt;$AB$4,"",$BD$2)</f>
        <v>│</v>
      </c>
      <c r="AN36" s="21"/>
      <c r="AO36" s="26" t="str">
        <f>IF(AP$11&gt;$AB$4,"",Stock!$G$1)</f>
        <v>│</v>
      </c>
      <c r="AP36" s="21"/>
      <c r="AQ36" s="81" t="str">
        <f>IF(AR$11&gt;$AB$4,"",$BD$2)</f>
        <v>│</v>
      </c>
      <c r="AR36" s="21"/>
      <c r="AS36" s="26" t="str">
        <f>IF(AT$11&gt;$AB$4,"",Stock!$G$1)</f>
        <v>│</v>
      </c>
      <c r="AT36" s="21"/>
      <c r="AU36" s="81" t="str">
        <f>IF(AV$11&gt;$AB$4,"",$BD$2)</f>
        <v>│</v>
      </c>
      <c r="AV36" s="21"/>
      <c r="AW36" s="85" t="str">
        <f>IF(AX$11&gt;$AB$4,"",Stock!$G$1)</f>
        <v>│</v>
      </c>
      <c r="AX36" s="21"/>
      <c r="AY36" s="81" t="str">
        <f>IF(AZ$11&gt;$AB$4,"",$BD$2)</f>
        <v>│</v>
      </c>
      <c r="AZ36" s="21"/>
      <c r="BA36" s="26" t="str">
        <f>IF(BB$11&gt;$AB$4,"",Stock!$G$1)</f>
        <v>│</v>
      </c>
      <c r="BB36" s="21"/>
      <c r="BC36" s="81" t="str">
        <f>IF(BD$11&gt;$AB$4,"",$BD$2)</f>
        <v>│</v>
      </c>
      <c r="BD36" s="22"/>
      <c r="BE36" s="71"/>
    </row>
    <row r="37" spans="2:57" x14ac:dyDescent="0.2">
      <c r="B37" s="19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86"/>
      <c r="AF37" s="21"/>
      <c r="AG37" s="90"/>
      <c r="AH37" s="21">
        <f>IF(AH$11=$AB$4,MAX(Stock!AG36-$AD$4,0),IF(AH$11&lt;$AB$4,($AJ$4*(AJ35-AJ39)+AJ39)/$AH$4,""))</f>
        <v>374.10378364346843</v>
      </c>
      <c r="AI37" s="82">
        <f>IF(AH$11&lt;$AB$4,451,"")</f>
        <v>451</v>
      </c>
      <c r="AJ37" s="21"/>
      <c r="AK37" s="68"/>
      <c r="AL37" s="21">
        <f>IF(AL$11=$AB$4,MAX(Stock!AK36-$AD$4,0),IF(AL$11&lt;$AB$4,($AJ$4*(AN35-AN39)+AN39)/$AH$4,""))</f>
        <v>373.57802068550353</v>
      </c>
      <c r="AM37" s="82">
        <f>IF(AL$11&lt;$AB$4,512,"")</f>
        <v>512</v>
      </c>
      <c r="AN37" s="21"/>
      <c r="AO37" s="81"/>
      <c r="AP37" s="21">
        <f>IF(AP$11=$AB$4,MAX(Stock!AO36-$AD$4,0),IF(AP$11&lt;$AB$4,($AJ$4*(AR35-AR39)+AR39)/$AH$4,""))</f>
        <v>373.05156161342757</v>
      </c>
      <c r="AQ37" s="82">
        <f>IF(AP$11&lt;$AB$4,573,"")</f>
        <v>573</v>
      </c>
      <c r="AR37" s="21"/>
      <c r="AS37" s="68"/>
      <c r="AT37" s="21">
        <f>IF(AT$11=$AB$4,MAX(Stock!AS36-$AD$4,0),IF(AT$11&lt;$AB$4,($AJ$4*(AV35-AV39)+AV39)/$AH$4,""))</f>
        <v>372.52440550558015</v>
      </c>
      <c r="AU37" s="82">
        <f>IF(AT$11&lt;$AB$4,634,"")</f>
        <v>634</v>
      </c>
      <c r="AV37" s="21"/>
      <c r="AW37" s="83"/>
      <c r="AX37" s="21">
        <f>IF(AX$11=$AB$4,MAX(Stock!AW36-$AD$4,0),IF(AX$11&lt;$AB$4,($AJ$4*(AZ35-AZ39)+AZ39)/$AH$4,""))</f>
        <v>371.99655143908075</v>
      </c>
      <c r="AY37" s="82">
        <f>IF(AX$11&lt;$AB$4,695,"")</f>
        <v>695</v>
      </c>
      <c r="AZ37" s="21"/>
      <c r="BA37" s="68"/>
      <c r="BB37" s="21">
        <f>IF(BB$11=$AB$4,MAX(Stock!BA36-$AD$4,0),IF(BB$11&lt;$AB$4,($AJ$4*(BD35-BD39)+BD39)/$AH$4,""))</f>
        <v>371.46799848982687</v>
      </c>
      <c r="BC37" s="82">
        <f>IF(BB$11&lt;$AB$4,756,"")</f>
        <v>756</v>
      </c>
      <c r="BD37" s="22"/>
      <c r="BE37" s="71"/>
    </row>
    <row r="38" spans="2:57" ht="13.5" x14ac:dyDescent="0.2">
      <c r="B38" s="19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86"/>
      <c r="Z38" s="21"/>
      <c r="AA38" s="21"/>
      <c r="AB38" s="21"/>
      <c r="AC38" s="21"/>
      <c r="AD38" s="21"/>
      <c r="AE38" s="92"/>
      <c r="AF38" s="21"/>
      <c r="AG38" s="91" t="str">
        <f>IF(AH$11&gt;$AB$4,"",$BD$2)</f>
        <v>│</v>
      </c>
      <c r="AH38" s="21"/>
      <c r="AI38" s="92" t="str">
        <f>IF(AJ$11&gt;$AB$4,"",Stock!$G$1)</f>
        <v>│</v>
      </c>
      <c r="AJ38" s="21"/>
      <c r="AK38" s="81" t="str">
        <f>IF(AL$11&gt;$AB$4,"",$BD$2)</f>
        <v>│</v>
      </c>
      <c r="AL38" s="21"/>
      <c r="AM38" s="87" t="str">
        <f>IF(AN$11&gt;$AB$4,"",Stock!$G$1)</f>
        <v>│</v>
      </c>
      <c r="AN38" s="21"/>
      <c r="AO38" s="81" t="str">
        <f>IF(AP$11&gt;$AB$4,"",$BD$2)</f>
        <v>│</v>
      </c>
      <c r="AP38" s="21"/>
      <c r="AQ38" s="26" t="str">
        <f>IF(AR$11&gt;$AB$4,"",Stock!$G$1)</f>
        <v>│</v>
      </c>
      <c r="AR38" s="21"/>
      <c r="AS38" s="81" t="str">
        <f>IF(AT$11&gt;$AB$4,"",$BD$2)</f>
        <v>│</v>
      </c>
      <c r="AT38" s="21"/>
      <c r="AU38" s="26" t="str">
        <f>IF(AV$11&gt;$AB$4,"",Stock!$G$1)</f>
        <v>│</v>
      </c>
      <c r="AV38" s="21"/>
      <c r="AW38" s="84" t="str">
        <f>IF(AX$11&gt;$AB$4,"",$BD$2)</f>
        <v>│</v>
      </c>
      <c r="AX38" s="21"/>
      <c r="AY38" s="26" t="str">
        <f>IF(AZ$11&gt;$AB$4,"",Stock!$G$1)</f>
        <v>│</v>
      </c>
      <c r="AZ38" s="21"/>
      <c r="BA38" s="81" t="str">
        <f>IF(BB$11&gt;$AB$4,"",$BD$2)</f>
        <v>│</v>
      </c>
      <c r="BB38" s="21"/>
      <c r="BC38" s="26" t="str">
        <f>IF(BD$11&gt;$AB$4,"",Stock!$G$1)</f>
        <v>│</v>
      </c>
      <c r="BD38" s="22"/>
      <c r="BE38" s="71"/>
    </row>
    <row r="39" spans="2:57" x14ac:dyDescent="0.2">
      <c r="B39" s="19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86"/>
      <c r="Z39" s="21"/>
      <c r="AA39" s="21"/>
      <c r="AB39" s="21"/>
      <c r="AC39" s="21"/>
      <c r="AD39" s="21"/>
      <c r="AE39" s="90"/>
      <c r="AF39" s="21">
        <f>IF(AF$11=$AB$4,MAX(Stock!AE38-$AD$4,0),IF(AF$11&lt;$AB$4,($AJ$4*(AH37-AH41)+AH41)/$AH$4,""))</f>
        <v>341.34197516649056</v>
      </c>
      <c r="AG39" s="82">
        <f>IF(AF$11&lt;$AB$4,421,"")</f>
        <v>421</v>
      </c>
      <c r="AH39" s="21"/>
      <c r="AI39" s="90"/>
      <c r="AJ39" s="21">
        <f>IF(AJ$11=$AB$4,MAX(Stock!AI38-$AD$4,0),IF(AJ$11&lt;$AB$4,($AJ$4*(AL37-AL41)+AL41)/$AH$4,""))</f>
        <v>340.81655992033944</v>
      </c>
      <c r="AK39" s="82">
        <f>IF(AJ$11&lt;$AB$4,482,"")</f>
        <v>482</v>
      </c>
      <c r="AL39" s="21"/>
      <c r="AM39" s="88"/>
      <c r="AN39" s="21">
        <f>IF(AN$11=$AB$4,MAX(Stock!AM38-$AD$4,0),IF(AN$11&lt;$AB$4,($AJ$4*(AP37-AP41)+AP41)/$AH$4,""))</f>
        <v>340.29044902045035</v>
      </c>
      <c r="AO39" s="82">
        <f>IF(AN$11&lt;$AB$4,543,"")</f>
        <v>543</v>
      </c>
      <c r="AP39" s="21"/>
      <c r="AQ39" s="68"/>
      <c r="AR39" s="21">
        <f>IF(AR$11=$AB$4,MAX(Stock!AQ38-$AD$4,0),IF(AR$11&lt;$AB$4,($AJ$4*(AT37-AT41)+AT41)/$AH$4,""))</f>
        <v>339.76364154577243</v>
      </c>
      <c r="AS39" s="82">
        <f>IF(AR$11&lt;$AB$4,604,"")</f>
        <v>604</v>
      </c>
      <c r="AT39" s="21"/>
      <c r="AU39" s="68"/>
      <c r="AV39" s="21">
        <f>IF(AV$11=$AB$4,MAX(Stock!AU38-$AD$4,0),IF(AV$11&lt;$AB$4,($AJ$4*(AX37-AX41)+AX41)/$AH$4,""))</f>
        <v>339.23613657403541</v>
      </c>
      <c r="AW39" s="82">
        <f>IF(AV$11&lt;$AB$4,665,"")</f>
        <v>665</v>
      </c>
      <c r="AX39" s="21"/>
      <c r="AY39" s="68"/>
      <c r="AZ39" s="21">
        <f>IF(AZ$11=$AB$4,MAX(Stock!AY38-$AD$4,0),IF(AZ$11&lt;$AB$4,($AJ$4*(BB37-BB41)+BB41)/$AH$4,""))</f>
        <v>338.70793318174805</v>
      </c>
      <c r="BA39" s="82">
        <f>IF(AZ$11&lt;$AB$4,726,"")</f>
        <v>726</v>
      </c>
      <c r="BB39" s="21"/>
      <c r="BC39" s="68"/>
      <c r="BD39" s="22">
        <f>IF(BD$11=$AB$4,MAX(Stock!BC38-$AD$4,0),IF(BD$11&lt;$AB$4,($AJ$4*(BE37-BE41)+BE41)/$AH$4,""))</f>
        <v>338.1790304441962</v>
      </c>
      <c r="BE39" s="71"/>
    </row>
    <row r="40" spans="2:57" ht="13.5" x14ac:dyDescent="0.2">
      <c r="B40" s="19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86"/>
      <c r="Z40" s="21"/>
      <c r="AA40" s="21"/>
      <c r="AB40" s="21"/>
      <c r="AC40" s="68"/>
      <c r="AD40" s="21"/>
      <c r="AE40" s="91" t="str">
        <f>IF(AF$11&gt;$AB$4,"",$BD$2)</f>
        <v>│</v>
      </c>
      <c r="AF40" s="21"/>
      <c r="AG40" s="92" t="str">
        <f>IF(AH$11&gt;$AB$4,"",Stock!$G$1)</f>
        <v>│</v>
      </c>
      <c r="AH40" s="21"/>
      <c r="AI40" s="91" t="str">
        <f>IF(AJ$11&gt;$AB$4,"",$BD$2)</f>
        <v>│</v>
      </c>
      <c r="AJ40" s="21"/>
      <c r="AK40" s="26" t="str">
        <f>IF(AL$11&gt;$AB$4,"",Stock!$G$1)</f>
        <v>│</v>
      </c>
      <c r="AL40" s="21"/>
      <c r="AM40" s="89" t="str">
        <f>IF(AN$11&gt;$AB$4,"",$BD$2)</f>
        <v>│</v>
      </c>
      <c r="AN40" s="21"/>
      <c r="AO40" s="26" t="str">
        <f>IF(AP$11&gt;$AB$4,"",Stock!$G$1)</f>
        <v>│</v>
      </c>
      <c r="AP40" s="21"/>
      <c r="AQ40" s="81" t="str">
        <f>IF(AR$11&gt;$AB$4,"",$BD$2)</f>
        <v>│</v>
      </c>
      <c r="AR40" s="21"/>
      <c r="AS40" s="26" t="str">
        <f>IF(AT$11&gt;$AB$4,"",Stock!$G$1)</f>
        <v>│</v>
      </c>
      <c r="AT40" s="21"/>
      <c r="AU40" s="81" t="str">
        <f>IF(AV$11&gt;$AB$4,"",$BD$2)</f>
        <v>│</v>
      </c>
      <c r="AV40" s="21"/>
      <c r="AW40" s="85" t="str">
        <f>IF(AX$11&gt;$AB$4,"",Stock!$G$1)</f>
        <v>│</v>
      </c>
      <c r="AX40" s="21"/>
      <c r="AY40" s="81" t="str">
        <f>IF(AZ$11&gt;$AB$4,"",$BD$2)</f>
        <v>│</v>
      </c>
      <c r="AZ40" s="21"/>
      <c r="BA40" s="26" t="str">
        <f>IF(BB$11&gt;$AB$4,"",Stock!$G$1)</f>
        <v>│</v>
      </c>
      <c r="BB40" s="21"/>
      <c r="BC40" s="81" t="str">
        <f>IF(BD$11&gt;$AB$4,"",$BD$2)</f>
        <v>│</v>
      </c>
      <c r="BD40" s="22"/>
      <c r="BE40" s="71"/>
    </row>
    <row r="41" spans="2:57" x14ac:dyDescent="0.2">
      <c r="B41" s="19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86"/>
      <c r="Z41" s="21"/>
      <c r="AA41" s="21"/>
      <c r="AB41" s="21"/>
      <c r="AC41" s="68"/>
      <c r="AD41" s="21">
        <f>IF(AD$11=$AB$4,MAX(Stock!AC40-$AD$4,0),IF(AD$11&lt;$AB$4,($AJ$4*(AF39-AF43)+AF43)/$AH$4,""))</f>
        <v>309.99416317140214</v>
      </c>
      <c r="AE41" s="82">
        <f>IF(AD$11&lt;$AB$4,391,"")</f>
        <v>391</v>
      </c>
      <c r="AF41" s="21"/>
      <c r="AG41" s="90"/>
      <c r="AH41" s="21">
        <f>IF(AH$11=$AB$4,MAX(Stock!AG40-$AD$4,0),IF(AH$11&lt;$AB$4,($AJ$4*(AJ39-AJ43)+AJ43)/$AH$4,""))</f>
        <v>309.46909540710664</v>
      </c>
      <c r="AI41" s="90">
        <v>452</v>
      </c>
      <c r="AJ41" s="21"/>
      <c r="AK41" s="68"/>
      <c r="AL41" s="21">
        <f>IF(AL$11=$AB$4,MAX(Stock!AK40-$AD$4,0),IF(AL$11&lt;$AB$4,($AJ$4*(AN39-AN43)+AN43)/$AH$4,""))</f>
        <v>308.94333244914179</v>
      </c>
      <c r="AM41" s="82">
        <f>IF(AL$11&lt;$AB$4,513,"")</f>
        <v>513</v>
      </c>
      <c r="AN41" s="21"/>
      <c r="AO41" s="81"/>
      <c r="AP41" s="21">
        <f>IF(AP$11=$AB$4,MAX(Stock!AO40-$AD$4,0),IF(AP$11&lt;$AB$4,($AJ$4*(AR39-AR43)+AR43)/$AH$4,""))</f>
        <v>308.41687337706577</v>
      </c>
      <c r="AQ41" s="82">
        <f>IF(AP$11&lt;$AB$4,574,"")</f>
        <v>574</v>
      </c>
      <c r="AR41" s="21"/>
      <c r="AS41" s="68"/>
      <c r="AT41" s="21">
        <f>IF(AT$11=$AB$4,MAX(Stock!AS40-$AD$4,0),IF(AT$11&lt;$AB$4,($AJ$4*(AV39-AV43)+AV43)/$AH$4,""))</f>
        <v>307.88971726921841</v>
      </c>
      <c r="AU41" s="82">
        <f>IF(AT$11&lt;$AB$4,635,"")</f>
        <v>635</v>
      </c>
      <c r="AV41" s="21"/>
      <c r="AW41" s="83"/>
      <c r="AX41" s="21">
        <f>IF(AX$11=$AB$4,MAX(Stock!AW40-$AD$4,0),IF(AX$11&lt;$AB$4,($AJ$4*(AZ39-AZ43)+AZ43)/$AH$4,""))</f>
        <v>307.36186320271901</v>
      </c>
      <c r="AY41" s="82">
        <f>IF(AX$11&lt;$AB$4,696,"")</f>
        <v>696</v>
      </c>
      <c r="AZ41" s="21"/>
      <c r="BA41" s="93"/>
      <c r="BB41" s="21">
        <f>IF(BB$11=$AB$4,MAX(Stock!BA40-$AD$4,0),IF(BB$11&lt;$AB$4,($AJ$4*(BD39-BD43)+BD43)/$AH$4,""))</f>
        <v>306.83331025346513</v>
      </c>
      <c r="BC41" s="82">
        <f>IF(BB$11&lt;$AB$4,757,"")</f>
        <v>757</v>
      </c>
      <c r="BD41" s="22"/>
      <c r="BE41" s="71"/>
    </row>
    <row r="42" spans="2:57" ht="13.5" x14ac:dyDescent="0.2">
      <c r="B42" s="19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86"/>
      <c r="Z42" s="21"/>
      <c r="AA42" s="87"/>
      <c r="AB42" s="21"/>
      <c r="AC42" s="91" t="str">
        <f>IF(AD$11&gt;$AB$4,"",$BD$2)</f>
        <v>│</v>
      </c>
      <c r="AD42" s="21"/>
      <c r="AE42" s="92" t="str">
        <f>IF(AF$11&gt;$AB$4,"",Stock!$G$1)</f>
        <v>│</v>
      </c>
      <c r="AF42" s="21"/>
      <c r="AG42" s="91" t="str">
        <f>IF(AH$11&gt;$AB$4,"",$BD$2)</f>
        <v>│</v>
      </c>
      <c r="AH42" s="21"/>
      <c r="AI42" s="92" t="str">
        <f>IF(AJ$11&gt;$AB$4,"",Stock!$G$1)</f>
        <v>│</v>
      </c>
      <c r="AJ42" s="21"/>
      <c r="AK42" s="81" t="str">
        <f>IF(AL$11&gt;$AB$4,"",$BD$2)</f>
        <v>│</v>
      </c>
      <c r="AL42" s="21"/>
      <c r="AM42" s="87" t="str">
        <f>IF(AN$11&gt;$AB$4,"",Stock!$G$1)</f>
        <v>│</v>
      </c>
      <c r="AN42" s="21"/>
      <c r="AO42" s="81" t="str">
        <f>IF(AP$11&gt;$AB$4,"",$BD$2)</f>
        <v>│</v>
      </c>
      <c r="AP42" s="21"/>
      <c r="AQ42" s="26" t="str">
        <f>IF(AR$11&gt;$AB$4,"",Stock!$G$1)</f>
        <v>│</v>
      </c>
      <c r="AR42" s="21"/>
      <c r="AS42" s="81" t="str">
        <f>IF(AT$11&gt;$AB$4,"",$BD$2)</f>
        <v>│</v>
      </c>
      <c r="AT42" s="21"/>
      <c r="AU42" s="26" t="str">
        <f>IF(AV$11&gt;$AB$4,"",Stock!$G$1)</f>
        <v>│</v>
      </c>
      <c r="AV42" s="21"/>
      <c r="AW42" s="84" t="str">
        <f>IF(AX$11&gt;$AB$4,"",$BD$2)</f>
        <v>│</v>
      </c>
      <c r="AX42" s="21"/>
      <c r="AY42" s="26" t="str">
        <f>IF(AZ$11&gt;$AB$4,"",Stock!$G$1)</f>
        <v>│</v>
      </c>
      <c r="AZ42" s="21"/>
      <c r="BA42" s="81" t="str">
        <f>IF(BB$11&gt;$AB$4,"",$BD$2)</f>
        <v>│</v>
      </c>
      <c r="BB42" s="21"/>
      <c r="BC42" s="26" t="str">
        <f>IF(BD$11&gt;$AB$4,"",Stock!$G$1)</f>
        <v>│</v>
      </c>
      <c r="BD42" s="22"/>
      <c r="BE42" s="71"/>
    </row>
    <row r="43" spans="2:57" x14ac:dyDescent="0.2">
      <c r="B43" s="19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86"/>
      <c r="Z43" s="21"/>
      <c r="AA43" s="88"/>
      <c r="AB43" s="21">
        <f>IF(AB$11=$AB$4,MAX(Stock!AA42-$AD$4,0),IF(AB$11&lt;$AB$4,($AJ$4*(AD41-AD45)+AD45)/$AH$4,""))</f>
        <v>280.0020181688169</v>
      </c>
      <c r="AC43" s="82">
        <f>IF(AB$11&lt;$AB$4,361,"")</f>
        <v>361</v>
      </c>
      <c r="AD43" s="21"/>
      <c r="AE43" s="90"/>
      <c r="AF43" s="21">
        <f>IF(AF$11=$AB$4,MAX(Stock!AE42-$AD$4,0),IF(AF$11&lt;$AB$4,($AJ$4*(AH41-AH45)+AH45)/$AH$4,""))</f>
        <v>279.4750697491574</v>
      </c>
      <c r="AG43" s="90">
        <v>422</v>
      </c>
      <c r="AH43" s="21"/>
      <c r="AI43" s="90"/>
      <c r="AJ43" s="21">
        <f>IF(AJ$11=$AB$4,MAX(Stock!AI42-$AD$4,0),IF(AJ$11&lt;$AB$4,($AJ$4*(AL41-AL45)+AL45)/$AH$4,""))</f>
        <v>278.94965450300634</v>
      </c>
      <c r="AK43" s="82">
        <f>IF(AJ$11&lt;$AB$4,483,"")</f>
        <v>483</v>
      </c>
      <c r="AL43" s="21"/>
      <c r="AM43" s="88"/>
      <c r="AN43" s="21">
        <f>IF(AN$11=$AB$4,MAX(Stock!AM42-$AD$4,0),IF(AN$11&lt;$AB$4,($AJ$4*(AP41-AP45)+AP45)/$AH$4,""))</f>
        <v>278.42354360311725</v>
      </c>
      <c r="AO43" s="82">
        <f>IF(AN$11&lt;$AB$4,544,"")</f>
        <v>544</v>
      </c>
      <c r="AP43" s="21"/>
      <c r="AQ43" s="68"/>
      <c r="AR43" s="21">
        <f>IF(AR$11=$AB$4,MAX(Stock!AQ42-$AD$4,0),IF(AR$11&lt;$AB$4,($AJ$4*(AT41-AT45)+AT45)/$AH$4,""))</f>
        <v>277.89673612843927</v>
      </c>
      <c r="AS43" s="82">
        <f>IF(AR$11&lt;$AB$4,605,"")</f>
        <v>605</v>
      </c>
      <c r="AT43" s="21"/>
      <c r="AU43" s="68"/>
      <c r="AV43" s="21">
        <f>IF(AV$11=$AB$4,MAX(Stock!AU42-$AD$4,0),IF(AV$11&lt;$AB$4,($AJ$4*(AX41-AX45)+AX45)/$AH$4,""))</f>
        <v>277.36923115670237</v>
      </c>
      <c r="AW43" s="82">
        <f>IF(AV$11&lt;$AB$4,666,"")</f>
        <v>666</v>
      </c>
      <c r="AX43" s="21"/>
      <c r="AY43" s="68"/>
      <c r="AZ43" s="21">
        <f>IF(AZ$11=$AB$4,MAX(Stock!AY42-$AD$4,0),IF(AZ$11&lt;$AB$4,($AJ$4*(BB41-BB45)+BB45)/$AH$4,""))</f>
        <v>276.84102776441495</v>
      </c>
      <c r="BA43" s="82">
        <f>IF(AZ$11&lt;$AB$4,727,"")</f>
        <v>727</v>
      </c>
      <c r="BB43" s="21"/>
      <c r="BC43" s="68"/>
      <c r="BD43" s="22">
        <f>IF(BD$11=$AB$4,MAX(Stock!BC42-$AD$4,0),IF(BD$11&lt;$AB$4,($AJ$4*(BE41-BE45)+BE45)/$AH$4,""))</f>
        <v>276.3121250268631</v>
      </c>
      <c r="BE43" s="71"/>
    </row>
    <row r="44" spans="2:57" ht="13.5" x14ac:dyDescent="0.2">
      <c r="B44" s="19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68"/>
      <c r="X44" s="21"/>
      <c r="Y44" s="90"/>
      <c r="Z44" s="21"/>
      <c r="AA44" s="89" t="str">
        <f>IF(AB$11&gt;$AB$4,"",$BD$2)</f>
        <v>│</v>
      </c>
      <c r="AB44" s="21"/>
      <c r="AC44" s="92" t="str">
        <f>IF(AD$11&gt;$AB$4,"",Stock!$G$1)</f>
        <v>│</v>
      </c>
      <c r="AD44" s="21"/>
      <c r="AE44" s="91" t="str">
        <f>IF(AF$11&gt;$AB$4,"",$BD$2)</f>
        <v>│</v>
      </c>
      <c r="AF44" s="21"/>
      <c r="AG44" s="92" t="str">
        <f>IF(AH$11&gt;$AB$4,"",Stock!$G$1)</f>
        <v>│</v>
      </c>
      <c r="AH44" s="21"/>
      <c r="AI44" s="91" t="str">
        <f>IF(AJ$11&gt;$AB$4,"",$BD$2)</f>
        <v>│</v>
      </c>
      <c r="AJ44" s="21"/>
      <c r="AK44" s="26" t="str">
        <f>IF(AL$11&gt;$AB$4,"",Stock!$G$1)</f>
        <v>│</v>
      </c>
      <c r="AL44" s="21"/>
      <c r="AM44" s="89" t="str">
        <f>IF(AN$11&gt;$AB$4,"",$BD$2)</f>
        <v>│</v>
      </c>
      <c r="AN44" s="21"/>
      <c r="AO44" s="26" t="str">
        <f>IF(AP$11&gt;$AB$4,"",Stock!$G$1)</f>
        <v>│</v>
      </c>
      <c r="AP44" s="21"/>
      <c r="AQ44" s="81" t="str">
        <f>IF(AR$11&gt;$AB$4,"",$BD$2)</f>
        <v>│</v>
      </c>
      <c r="AR44" s="21"/>
      <c r="AS44" s="26" t="str">
        <f>IF(AT$11&gt;$AB$4,"",Stock!$G$1)</f>
        <v>│</v>
      </c>
      <c r="AT44" s="21"/>
      <c r="AU44" s="81" t="str">
        <f>IF(AV$11&gt;$AB$4,"",$BD$2)</f>
        <v>│</v>
      </c>
      <c r="AV44" s="21"/>
      <c r="AW44" s="85" t="str">
        <f>IF(AX$11&gt;$AB$4,"",Stock!$G$1)</f>
        <v>│</v>
      </c>
      <c r="AX44" s="21"/>
      <c r="AY44" s="81" t="str">
        <f>IF(AZ$11&gt;$AB$4,"",$BD$2)</f>
        <v>│</v>
      </c>
      <c r="AZ44" s="21"/>
      <c r="BA44" s="26" t="str">
        <f>IF(BB$11&gt;$AB$4,"",Stock!$G$1)</f>
        <v>│</v>
      </c>
      <c r="BB44" s="21"/>
      <c r="BC44" s="81" t="str">
        <f>IF(BD$11&gt;$AB$4,"",$BD$2)</f>
        <v>│</v>
      </c>
      <c r="BD44" s="22"/>
      <c r="BE44" s="71"/>
    </row>
    <row r="45" spans="2:57" x14ac:dyDescent="0.2">
      <c r="B45" s="19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90"/>
      <c r="X45" s="21"/>
      <c r="Y45" s="90"/>
      <c r="Z45" s="21">
        <f>IF(Z$11=$AB$4,MAX(Stock!Y44-$AD$4,0),IF(Z$11&lt;$AB$4,($AJ$4*(AB43-AB47)+AB47)/$AH$4,""))</f>
        <v>251.31962511270018</v>
      </c>
      <c r="AA45" s="82">
        <f>IF(Z$11&lt;$AB$4,331,"")</f>
        <v>331</v>
      </c>
      <c r="AB45" s="21"/>
      <c r="AC45" s="90"/>
      <c r="AD45" s="21">
        <f>IF(AD$11=$AB$4,MAX(Stock!AC44-$AD$4,0),IF(AD$11&lt;$AB$4,($AJ$4*(AF43-AF47)+AF47)/$AH$4,""))</f>
        <v>250.78094755055139</v>
      </c>
      <c r="AE45" s="82">
        <f>IF(AD$11&lt;$AB$4,392,"")</f>
        <v>392</v>
      </c>
      <c r="AF45" s="21"/>
      <c r="AG45" s="90"/>
      <c r="AH45" s="21">
        <f>IF(AH$11=$AB$4,MAX(Stock!AG44-$AD$4,0),IF(AH$11&lt;$AB$4,($AJ$4*(AJ43-AJ47)+AJ47)/$AH$4,""))</f>
        <v>250.25145097567608</v>
      </c>
      <c r="AI45" s="90">
        <v>453</v>
      </c>
      <c r="AJ45" s="21"/>
      <c r="AK45" s="68"/>
      <c r="AL45" s="21">
        <f>IF(AL$11=$AB$4,MAX(Stock!AK44-$AD$4,0),IF(AL$11&lt;$AB$4,($AJ$4*(AN43-AN47)+AN47)/$AH$4,""))</f>
        <v>249.72568801771115</v>
      </c>
      <c r="AM45" s="82">
        <f>IF(AL$11&lt;$AB$4,514,"")</f>
        <v>514</v>
      </c>
      <c r="AN45" s="21"/>
      <c r="AO45" s="81"/>
      <c r="AP45" s="21">
        <f>IF(AP$11=$AB$4,MAX(Stock!AO44-$AD$4,0),IF(AP$11&lt;$AB$4,($AJ$4*(AR43-AR47)+AR47)/$AH$4,""))</f>
        <v>249.19922894563516</v>
      </c>
      <c r="AQ45" s="82">
        <f>IF(AP$11&lt;$AB$4,575,"")</f>
        <v>575</v>
      </c>
      <c r="AR45" s="21"/>
      <c r="AS45" s="68"/>
      <c r="AT45" s="21">
        <f>IF(AT$11=$AB$4,MAX(Stock!AS44-$AD$4,0),IF(AT$11&lt;$AB$4,($AJ$4*(AV43-AV47)+AV47)/$AH$4,""))</f>
        <v>248.67207283778777</v>
      </c>
      <c r="AU45" s="82">
        <f>IF(AT$11&lt;$AB$4,636,"")</f>
        <v>636</v>
      </c>
      <c r="AV45" s="21"/>
      <c r="AW45" s="83"/>
      <c r="AX45" s="21">
        <f>IF(AX$11=$AB$4,MAX(Stock!AW44-$AD$4,0),IF(AX$11&lt;$AB$4,($AJ$4*(AZ43-AZ47)+AZ47)/$AH$4,""))</f>
        <v>248.14421877128839</v>
      </c>
      <c r="AY45" s="82">
        <f>IF(AX$11&lt;$AB$4,697,"")</f>
        <v>697</v>
      </c>
      <c r="AZ45" s="21"/>
      <c r="BA45" s="68"/>
      <c r="BB45" s="21">
        <f>IF(BB$11=$AB$4,MAX(Stock!BA44-$AD$4,0),IF(BB$11&lt;$AB$4,($AJ$4*(BD43-BD47)+BD47)/$AH$4,""))</f>
        <v>247.61566582203452</v>
      </c>
      <c r="BC45" s="82">
        <f>IF(BB$11&lt;$AB$4,758,"")</f>
        <v>758</v>
      </c>
      <c r="BD45" s="22"/>
      <c r="BE45" s="71"/>
    </row>
    <row r="46" spans="2:57" ht="13.5" x14ac:dyDescent="0.2">
      <c r="B46" s="19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92"/>
      <c r="X46" s="21"/>
      <c r="Y46" s="91" t="str">
        <f>IF(Z$11&gt;$AB$4,"",$BD$2)</f>
        <v>│</v>
      </c>
      <c r="Z46" s="21"/>
      <c r="AA46" s="94" t="str">
        <f>IF(AB$11&gt;$AB$4,"",Stock!$G$1)</f>
        <v>│</v>
      </c>
      <c r="AB46" s="21"/>
      <c r="AC46" s="91" t="str">
        <f>IF(AD$11&gt;$AB$4,"",$BD$2)</f>
        <v>│</v>
      </c>
      <c r="AD46" s="21"/>
      <c r="AE46" s="92" t="str">
        <f>IF(AF$11&gt;$AB$4,"",Stock!$G$1)</f>
        <v>│</v>
      </c>
      <c r="AF46" s="21"/>
      <c r="AG46" s="91" t="str">
        <f>IF(AH$11&gt;$AB$4,"",$BD$2)</f>
        <v>│</v>
      </c>
      <c r="AH46" s="21"/>
      <c r="AI46" s="92" t="str">
        <f>IF(AJ$11&gt;$AB$4,"",Stock!$G$1)</f>
        <v>│</v>
      </c>
      <c r="AJ46" s="21"/>
      <c r="AK46" s="81" t="str">
        <f>IF(AL$11&gt;$AB$4,"",$BD$2)</f>
        <v>│</v>
      </c>
      <c r="AL46" s="21"/>
      <c r="AM46" s="87" t="str">
        <f>IF(AN$11&gt;$AB$4,"",Stock!$G$1)</f>
        <v>│</v>
      </c>
      <c r="AN46" s="21"/>
      <c r="AO46" s="81" t="str">
        <f>IF(AP$11&gt;$AB$4,"",$BD$2)</f>
        <v>│</v>
      </c>
      <c r="AP46" s="21"/>
      <c r="AQ46" s="26" t="str">
        <f>IF(AR$11&gt;$AB$4,"",Stock!$G$1)</f>
        <v>│</v>
      </c>
      <c r="AR46" s="21"/>
      <c r="AS46" s="81" t="str">
        <f>IF(AT$11&gt;$AB$4,"",$BD$2)</f>
        <v>│</v>
      </c>
      <c r="AT46" s="21"/>
      <c r="AU46" s="26" t="str">
        <f>IF(AV$11&gt;$AB$4,"",Stock!$G$1)</f>
        <v>│</v>
      </c>
      <c r="AV46" s="21"/>
      <c r="AW46" s="84" t="str">
        <f>IF(AX$11&gt;$AB$4,"",$BD$2)</f>
        <v>│</v>
      </c>
      <c r="AX46" s="21"/>
      <c r="AY46" s="26" t="str">
        <f>IF(AZ$11&gt;$AB$4,"",Stock!$G$1)</f>
        <v>│</v>
      </c>
      <c r="AZ46" s="21"/>
      <c r="BA46" s="81" t="str">
        <f>IF(BB$11&gt;$AB$4,"",$BD$2)</f>
        <v>│</v>
      </c>
      <c r="BB46" s="21"/>
      <c r="BC46" s="26" t="str">
        <f>IF(BD$11&gt;$AB$4,"",Stock!$G$1)</f>
        <v>│</v>
      </c>
      <c r="BD46" s="22"/>
      <c r="BE46" s="71"/>
    </row>
    <row r="47" spans="2:57" x14ac:dyDescent="0.2">
      <c r="B47" s="19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90"/>
      <c r="X47" s="21">
        <f>IF(X$11=$AB$4,MAX(Stock!W46-$AD$4,0),IF(X$11&lt;$AB$4,($AJ$4*(Z45-Z49)+Z49)/$AH$4,""))</f>
        <v>223.92644262980096</v>
      </c>
      <c r="Y47" s="82">
        <f>IF(X$11&lt;$AB$4,301,"")</f>
        <v>301</v>
      </c>
      <c r="Z47" s="21"/>
      <c r="AA47" s="82"/>
      <c r="AB47" s="21">
        <f>IF(AB$11=$AB$4,MAX(Stock!AA46-$AD$4,0),IF(AB$11&lt;$AB$4,($AJ$4*(AD45-AD49)+AD49)/$AH$4,""))</f>
        <v>223.3530010498535</v>
      </c>
      <c r="AC47" s="82">
        <f>IF(AB$11&lt;$AB$4,362,"")</f>
        <v>362</v>
      </c>
      <c r="AD47" s="21"/>
      <c r="AE47" s="90"/>
      <c r="AF47" s="21">
        <f>IF(AF$11=$AB$4,MAX(Stock!AE46-$AD$4,0),IF(AF$11&lt;$AB$4,($AJ$4*(AH45-AH49)+AH49)/$AH$4,""))</f>
        <v>222.80204374545323</v>
      </c>
      <c r="AG47" s="90">
        <v>423</v>
      </c>
      <c r="AH47" s="21"/>
      <c r="AI47" s="90"/>
      <c r="AJ47" s="21">
        <f>IF(AJ$11=$AB$4,MAX(Stock!AI46-$AD$4,0),IF(AJ$11&lt;$AB$4,($AJ$4*(AL45-AL49)+AL49)/$AH$4,""))</f>
        <v>222.26782455932093</v>
      </c>
      <c r="AK47" s="82">
        <f>IF(AJ$11&lt;$AB$4,484,"")</f>
        <v>484</v>
      </c>
      <c r="AL47" s="21"/>
      <c r="AM47" s="88"/>
      <c r="AN47" s="21">
        <f>IF(AN$11=$AB$4,MAX(Stock!AM46-$AD$4,0),IF(AN$11&lt;$AB$4,($AJ$4*(AP45-AP49)+AP49)/$AH$4,""))</f>
        <v>221.74171365943178</v>
      </c>
      <c r="AO47" s="82">
        <f>IF(AN$11&lt;$AB$4,545,"")</f>
        <v>545</v>
      </c>
      <c r="AP47" s="21"/>
      <c r="AQ47" s="68"/>
      <c r="AR47" s="21">
        <f>IF(AR$11=$AB$4,MAX(Stock!AQ46-$AD$4,0),IF(AR$11&lt;$AB$4,($AJ$4*(AT45-AT49)+AT49)/$AH$4,""))</f>
        <v>221.21490618475386</v>
      </c>
      <c r="AS47" s="82">
        <f>IF(AR$11&lt;$AB$4,606,"")</f>
        <v>606</v>
      </c>
      <c r="AT47" s="21"/>
      <c r="AU47" s="68"/>
      <c r="AV47" s="21">
        <f>IF(AV$11=$AB$4,MAX(Stock!AU46-$AD$4,0),IF(AV$11&lt;$AB$4,($AJ$4*(AX45-AX49)+AX49)/$AH$4,""))</f>
        <v>220.6874012130169</v>
      </c>
      <c r="AW47" s="82">
        <f>IF(AV$11&lt;$AB$4,667,"")</f>
        <v>667</v>
      </c>
      <c r="AX47" s="21"/>
      <c r="AY47" s="68"/>
      <c r="AZ47" s="21">
        <f>IF(AZ$11=$AB$4,MAX(Stock!AY46-$AD$4,0),IF(AZ$11&lt;$AB$4,($AJ$4*(BB45-BB49)+BB49)/$AH$4,""))</f>
        <v>220.1591978207295</v>
      </c>
      <c r="BA47" s="82">
        <f>IF(AZ$11&lt;$AB$4,728,"")</f>
        <v>728</v>
      </c>
      <c r="BB47" s="21"/>
      <c r="BC47" s="68"/>
      <c r="BD47" s="22">
        <f>IF(BD$11=$AB$4,MAX(Stock!BC46-$AD$4,0),IF(BD$11&lt;$AB$4,($AJ$4*(BE45-BE49)+BE49)/$AH$4,""))</f>
        <v>219.63029508317766</v>
      </c>
      <c r="BE47" s="71"/>
    </row>
    <row r="48" spans="2:57" ht="13.5" x14ac:dyDescent="0.2">
      <c r="B48" s="19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90"/>
      <c r="T48" s="21"/>
      <c r="U48" s="68"/>
      <c r="V48" s="21"/>
      <c r="W48" s="91" t="str">
        <f>IF(X$11&gt;$AB$4,"",$BD$2)</f>
        <v>│</v>
      </c>
      <c r="X48" s="21"/>
      <c r="Y48" s="92" t="str">
        <f>IF(Z$11&gt;$AB$4,"",Stock!$G$1)</f>
        <v>│</v>
      </c>
      <c r="Z48" s="21"/>
      <c r="AA48" s="95" t="str">
        <f>IF(AB$11&gt;$AB$4,"",$BD$2)</f>
        <v>│</v>
      </c>
      <c r="AB48" s="21"/>
      <c r="AC48" s="92" t="str">
        <f>IF(AD$11&gt;$AB$4,"",Stock!$G$1)</f>
        <v>│</v>
      </c>
      <c r="AD48" s="21"/>
      <c r="AE48" s="91" t="str">
        <f>IF(AF$11&gt;$AB$4,"",$BD$2)</f>
        <v>│</v>
      </c>
      <c r="AF48" s="21"/>
      <c r="AG48" s="92" t="str">
        <f>IF(AH$11&gt;$AB$4,"",Stock!$G$1)</f>
        <v>│</v>
      </c>
      <c r="AH48" s="21"/>
      <c r="AI48" s="91" t="str">
        <f>IF(AJ$11&gt;$AB$4,"",$BD$2)</f>
        <v>│</v>
      </c>
      <c r="AJ48" s="21"/>
      <c r="AK48" s="26" t="str">
        <f>IF(AL$11&gt;$AB$4,"",Stock!$G$1)</f>
        <v>│</v>
      </c>
      <c r="AL48" s="21"/>
      <c r="AM48" s="89" t="str">
        <f>IF(AN$11&gt;$AB$4,"",$BD$2)</f>
        <v>│</v>
      </c>
      <c r="AN48" s="21"/>
      <c r="AO48" s="26" t="str">
        <f>IF(AP$11&gt;$AB$4,"",Stock!$G$1)</f>
        <v>│</v>
      </c>
      <c r="AP48" s="21"/>
      <c r="AQ48" s="81" t="str">
        <f>IF(AR$11&gt;$AB$4,"",$BD$2)</f>
        <v>│</v>
      </c>
      <c r="AR48" s="21"/>
      <c r="AS48" s="26" t="str">
        <f>IF(AT$11&gt;$AB$4,"",Stock!$G$1)</f>
        <v>│</v>
      </c>
      <c r="AT48" s="21"/>
      <c r="AU48" s="81" t="str">
        <f>IF(AV$11&gt;$AB$4,"",$BD$2)</f>
        <v>│</v>
      </c>
      <c r="AV48" s="21"/>
      <c r="AW48" s="85" t="str">
        <f>IF(AX$11&gt;$AB$4,"",Stock!$G$1)</f>
        <v>│</v>
      </c>
      <c r="AX48" s="21"/>
      <c r="AY48" s="81" t="str">
        <f>IF(AZ$11&gt;$AB$4,"",$BD$2)</f>
        <v>│</v>
      </c>
      <c r="AZ48" s="21"/>
      <c r="BA48" s="26" t="str">
        <f>IF(BB$11&gt;$AB$4,"",Stock!$G$1)</f>
        <v>│</v>
      </c>
      <c r="BB48" s="21"/>
      <c r="BC48" s="81" t="str">
        <f>IF(BD$11&gt;$AB$4,"",$BD$2)</f>
        <v>│</v>
      </c>
      <c r="BD48" s="22"/>
      <c r="BE48" s="71"/>
    </row>
    <row r="49" spans="2:57" x14ac:dyDescent="0.2">
      <c r="B49" s="19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90"/>
      <c r="T49" s="21"/>
      <c r="U49" s="68"/>
      <c r="V49" s="21">
        <f>IF(V$11=$AB$4,MAX(Stock!U48-$AD$4,0),IF(V$11&lt;$AB$4,($AJ$4*(X47-X51)+X51)/$AH$4,""))</f>
        <v>197.84120084498684</v>
      </c>
      <c r="W49" s="82">
        <f>IF(V$11&lt;$AB$4,271,"")</f>
        <v>271</v>
      </c>
      <c r="X49" s="21"/>
      <c r="Y49" s="90"/>
      <c r="Z49" s="21">
        <f>IF(Z$11=$AB$4,MAX(Stock!Y48-$AD$4,0),IF(Z$11&lt;$AB$4,($AJ$4*(AB47-AB51)+AB51)/$AH$4,""))</f>
        <v>197.19569463129278</v>
      </c>
      <c r="AA49" s="82">
        <f>IF(Z$11&lt;$AB$4,332,"")</f>
        <v>332</v>
      </c>
      <c r="AB49" s="21"/>
      <c r="AC49" s="90"/>
      <c r="AD49" s="21">
        <f>IF(AD$11=$AB$4,MAX(Stock!AC48-$AD$4,0),IF(AD$11&lt;$AB$4,($AJ$4*(AF47-AF51)+AF51)/$AH$4,""))</f>
        <v>196.58720221720114</v>
      </c>
      <c r="AE49" s="82">
        <f>IF(AD$11&lt;$AB$4,393,"")</f>
        <v>393</v>
      </c>
      <c r="AF49" s="21"/>
      <c r="AG49" s="90"/>
      <c r="AH49" s="21">
        <f>IF(AH$11=$AB$4,MAX(Stock!AG48-$AD$4,0),IF(AH$11&lt;$AB$4,($AJ$4*(AJ47-AJ51)+AJ51)/$AH$4,""))</f>
        <v>196.01434818912153</v>
      </c>
      <c r="AI49" s="90">
        <v>454</v>
      </c>
      <c r="AJ49" s="21"/>
      <c r="AK49" s="68"/>
      <c r="AL49" s="21">
        <f>IF(AL$11=$AB$4,MAX(Stock!AK48-$AD$4,0),IF(AL$11&lt;$AB$4,($AJ$4*(AN47-AN51)+AN51)/$AH$4,""))</f>
        <v>195.47108406288686</v>
      </c>
      <c r="AM49" s="82">
        <f>IF(AL$11&lt;$AB$4,515,"")</f>
        <v>515</v>
      </c>
      <c r="AN49" s="21"/>
      <c r="AO49" s="81"/>
      <c r="AP49" s="21">
        <f>IF(AP$11=$AB$4,MAX(Stock!AO48-$AD$4,0),IF(AP$11&lt;$AB$4,($AJ$4*(AR47-AR51)+AR51)/$AH$4,""))</f>
        <v>194.94462499081084</v>
      </c>
      <c r="AQ49" s="82">
        <f>IF(AP$11&lt;$AB$4,576,"")</f>
        <v>576</v>
      </c>
      <c r="AR49" s="21"/>
      <c r="AS49" s="68"/>
      <c r="AT49" s="21">
        <f>IF(AT$11=$AB$4,MAX(Stock!AS48-$AD$4,0),IF(AT$11&lt;$AB$4,($AJ$4*(AV47-AV51)+AV51)/$AH$4,""))</f>
        <v>194.41746888296345</v>
      </c>
      <c r="AU49" s="82">
        <f>IF(AT$11&lt;$AB$4,637,"")</f>
        <v>637</v>
      </c>
      <c r="AV49" s="21"/>
      <c r="AW49" s="83"/>
      <c r="AX49" s="21">
        <f>IF(AX$11=$AB$4,MAX(Stock!AW48-$AD$4,0),IF(AX$11&lt;$AB$4,($AJ$4*(AZ47-AZ51)+AZ51)/$AH$4,""))</f>
        <v>193.88961481646407</v>
      </c>
      <c r="AY49" s="82">
        <f>IF(AX$11&lt;$AB$4,698,"")</f>
        <v>698</v>
      </c>
      <c r="AZ49" s="21"/>
      <c r="BA49" s="68"/>
      <c r="BB49" s="21">
        <f>IF(BB$11=$AB$4,MAX(Stock!BA48-$AD$4,0),IF(BB$11&lt;$AB$4,($AJ$4*(BD47-BD51)+BD51)/$AH$4,""))</f>
        <v>193.3610618672102</v>
      </c>
      <c r="BC49" s="82">
        <f>IF(BB$11&lt;$AB$4,759,"")</f>
        <v>759</v>
      </c>
      <c r="BD49" s="22"/>
      <c r="BE49" s="71"/>
    </row>
    <row r="50" spans="2:57" ht="13.5" x14ac:dyDescent="0.2">
      <c r="B50" s="19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90"/>
      <c r="T50" s="21"/>
      <c r="U50" s="81" t="str">
        <f>IF(V$11&gt;$AB$4,"",$BD$2)</f>
        <v>│</v>
      </c>
      <c r="V50" s="21"/>
      <c r="W50" s="92" t="str">
        <f>IF(X$11&gt;$AB$4,"",Stock!$G$1)</f>
        <v>│</v>
      </c>
      <c r="X50" s="21"/>
      <c r="Y50" s="91" t="str">
        <f>IF(Z$11&gt;$AB$4,"",$BD$2)</f>
        <v>│</v>
      </c>
      <c r="Z50" s="21"/>
      <c r="AA50" s="94" t="str">
        <f>IF(AB$11&gt;$AB$4,"",Stock!$G$1)</f>
        <v>│</v>
      </c>
      <c r="AB50" s="21"/>
      <c r="AC50" s="91" t="str">
        <f>IF(AD$11&gt;$AB$4,"",$BD$2)</f>
        <v>│</v>
      </c>
      <c r="AD50" s="21"/>
      <c r="AE50" s="92" t="str">
        <f>IF(AF$11&gt;$AB$4,"",Stock!$G$1)</f>
        <v>│</v>
      </c>
      <c r="AF50" s="21"/>
      <c r="AG50" s="91" t="str">
        <f>IF(AH$11&gt;$AB$4,"",$BD$2)</f>
        <v>│</v>
      </c>
      <c r="AH50" s="21"/>
      <c r="AI50" s="92" t="str">
        <f>IF(AJ$11&gt;$AB$4,"",Stock!$G$1)</f>
        <v>│</v>
      </c>
      <c r="AJ50" s="21"/>
      <c r="AK50" s="81" t="str">
        <f>IF(AL$11&gt;$AB$4,"",$BD$2)</f>
        <v>│</v>
      </c>
      <c r="AL50" s="21"/>
      <c r="AM50" s="87" t="str">
        <f>IF(AN$11&gt;$AB$4,"",Stock!$G$1)</f>
        <v>│</v>
      </c>
      <c r="AN50" s="21"/>
      <c r="AO50" s="81" t="str">
        <f>IF(AP$11&gt;$AB$4,"",$BD$2)</f>
        <v>│</v>
      </c>
      <c r="AP50" s="21"/>
      <c r="AQ50" s="26" t="str">
        <f>IF(AR$11&gt;$AB$4,"",Stock!$G$1)</f>
        <v>│</v>
      </c>
      <c r="AR50" s="21"/>
      <c r="AS50" s="81" t="str">
        <f>IF(AT$11&gt;$AB$4,"",$BD$2)</f>
        <v>│</v>
      </c>
      <c r="AT50" s="21"/>
      <c r="AU50" s="26" t="str">
        <f>IF(AV$11&gt;$AB$4,"",Stock!$G$1)</f>
        <v>│</v>
      </c>
      <c r="AV50" s="21"/>
      <c r="AW50" s="84" t="str">
        <f>IF(AX$11&gt;$AB$4,"",$BD$2)</f>
        <v>│</v>
      </c>
      <c r="AX50" s="21"/>
      <c r="AY50" s="26" t="str">
        <f>IF(AZ$11&gt;$AB$4,"",Stock!$G$1)</f>
        <v>│</v>
      </c>
      <c r="AZ50" s="21"/>
      <c r="BA50" s="81" t="str">
        <f>IF(BB$11&gt;$AB$4,"",$BD$2)</f>
        <v>│</v>
      </c>
      <c r="BB50" s="21"/>
      <c r="BC50" s="26" t="str">
        <f>IF(BD$11&gt;$AB$4,"",Stock!$G$1)</f>
        <v>│</v>
      </c>
      <c r="BD50" s="22"/>
      <c r="BE50" s="71"/>
    </row>
    <row r="51" spans="2:57" x14ac:dyDescent="0.2">
      <c r="B51" s="19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90"/>
      <c r="T51" s="21">
        <f>IF(T$11=$AB$4,MAX(Stock!S50-$AD$4,0),IF(T$11&lt;$AB$4,($AJ$4*(V49-V53)+V53)/$AH$4,""))</f>
        <v>173.1298755502894</v>
      </c>
      <c r="U51" s="82">
        <f>IF(T$11&lt;$AB$4,241,"")</f>
        <v>241</v>
      </c>
      <c r="V51" s="21"/>
      <c r="W51" s="90"/>
      <c r="X51" s="21">
        <f>IF(X$11=$AB$4,MAX(Stock!W50-$AD$4,0),IF(X$11&lt;$AB$4,($AJ$4*(Z49-Z53)+Z53)/$AH$4,""))</f>
        <v>172.36652690658647</v>
      </c>
      <c r="Y51" s="82">
        <f>IF(X$11&lt;$AB$4,302,"")</f>
        <v>302</v>
      </c>
      <c r="Z51" s="21"/>
      <c r="AA51" s="82"/>
      <c r="AB51" s="21">
        <f>IF(AB$11=$AB$4,MAX(Stock!AA50-$AD$4,0),IF(AB$11&lt;$AB$4,($AJ$4*(AD49-AD53)+AD53)/$AH$4,""))</f>
        <v>171.64907565641343</v>
      </c>
      <c r="AC51" s="82">
        <f>IF(AB$11&lt;$AB$4,363,"")</f>
        <v>363</v>
      </c>
      <c r="AD51" s="21"/>
      <c r="AE51" s="90"/>
      <c r="AF51" s="21">
        <f>IF(AF$11=$AB$4,MAX(Stock!AE50-$AD$4,0),IF(AF$11&lt;$AB$4,($AJ$4*(AH49-AH53)+AH53)/$AH$4,""))</f>
        <v>170.98302117854723</v>
      </c>
      <c r="AG51" s="90">
        <v>424</v>
      </c>
      <c r="AH51" s="21"/>
      <c r="AI51" s="90"/>
      <c r="AJ51" s="21">
        <f>IF(AJ$11=$AB$4,MAX(Stock!AI50-$AD$4,0),IF(AJ$11&lt;$AB$4,($AJ$4*(AL49-AL53)+AL53)/$AH$4,""))</f>
        <v>170.37129827138389</v>
      </c>
      <c r="AK51" s="82">
        <f>IF(AJ$11&lt;$AB$4,485,"")</f>
        <v>485</v>
      </c>
      <c r="AL51" s="21"/>
      <c r="AM51" s="88"/>
      <c r="AN51" s="21">
        <f>IF(AN$11=$AB$4,MAX(Stock!AM50-$AD$4,0),IF(AN$11&lt;$AB$4,($AJ$4*(AP49-AP53)+AP53)/$AH$4,""))</f>
        <v>169.81039716489863</v>
      </c>
      <c r="AO51" s="82">
        <f>IF(AN$11&lt;$AB$4,546,"")</f>
        <v>546</v>
      </c>
      <c r="AP51" s="21"/>
      <c r="AQ51" s="68"/>
      <c r="AR51" s="21">
        <f>IF(AR$11=$AB$4,MAX(Stock!AQ50-$AD$4,0),IF(AR$11&lt;$AB$4,($AJ$4*(AT49-AT53)+AT53)/$AH$4,""))</f>
        <v>169.28358969022068</v>
      </c>
      <c r="AS51" s="82">
        <f>IF(AR$11&lt;$AB$4,607,"")</f>
        <v>607</v>
      </c>
      <c r="AT51" s="21"/>
      <c r="AU51" s="68"/>
      <c r="AV51" s="21">
        <f>IF(AV$11=$AB$4,MAX(Stock!AU50-$AD$4,0),IF(AV$11&lt;$AB$4,($AJ$4*(AX49-AX53)+AX53)/$AH$4,""))</f>
        <v>168.75608471848369</v>
      </c>
      <c r="AW51" s="82">
        <f>IF(AV$11&lt;$AB$4,668,"")</f>
        <v>668</v>
      </c>
      <c r="AX51" s="21"/>
      <c r="AY51" s="68"/>
      <c r="AZ51" s="21">
        <f>IF(AZ$11=$AB$4,MAX(Stock!AY50-$AD$4,0),IF(AZ$11&lt;$AB$4,($AJ$4*(BB49-BB53)+BB53)/$AH$4,""))</f>
        <v>168.22788132619633</v>
      </c>
      <c r="BA51" s="82">
        <f>IF(AZ$11&lt;$AB$4,729,"")</f>
        <v>729</v>
      </c>
      <c r="BB51" s="21"/>
      <c r="BC51" s="68"/>
      <c r="BD51" s="22">
        <f>IF(BD$11=$AB$4,MAX(Stock!BC50-$AD$4,0),IF(BD$11&lt;$AB$4,($AJ$4*(BE49-BE53)+BE53)/$AH$4,""))</f>
        <v>167.69897858864442</v>
      </c>
      <c r="BE51" s="71"/>
    </row>
    <row r="52" spans="2:57" ht="13.5" x14ac:dyDescent="0.2">
      <c r="B52" s="19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96"/>
      <c r="P52" s="21"/>
      <c r="Q52" s="68"/>
      <c r="R52" s="21"/>
      <c r="S52" s="91" t="str">
        <f>IF(T$11&gt;$AB$4,"",$BD$2)</f>
        <v>│</v>
      </c>
      <c r="T52" s="21"/>
      <c r="U52" s="92" t="str">
        <f>IF(V$11&gt;$AB$4,"",Stock!$G$1)</f>
        <v>│</v>
      </c>
      <c r="V52" s="21"/>
      <c r="W52" s="91" t="str">
        <f>IF(X$11&gt;$AB$4,"",$BD$2)</f>
        <v>│</v>
      </c>
      <c r="X52" s="21"/>
      <c r="Y52" s="92" t="str">
        <f>IF(Z$11&gt;$AB$4,"",Stock!$G$1)</f>
        <v>│</v>
      </c>
      <c r="Z52" s="21"/>
      <c r="AA52" s="95" t="str">
        <f>IF(AB$11&gt;$AB$4,"",$BD$2)</f>
        <v>│</v>
      </c>
      <c r="AB52" s="21"/>
      <c r="AC52" s="92" t="str">
        <f>IF(AD$11&gt;$AB$4,"",Stock!$G$1)</f>
        <v>│</v>
      </c>
      <c r="AD52" s="21"/>
      <c r="AE52" s="91" t="str">
        <f>IF(AF$11&gt;$AB$4,"",$BD$2)</f>
        <v>│</v>
      </c>
      <c r="AF52" s="21"/>
      <c r="AG52" s="92" t="str">
        <f>IF(AH$11&gt;$AB$4,"",Stock!$G$1)</f>
        <v>│</v>
      </c>
      <c r="AH52" s="21"/>
      <c r="AI52" s="91" t="str">
        <f>IF(AJ$11&gt;$AB$4,"",$BD$2)</f>
        <v>│</v>
      </c>
      <c r="AJ52" s="21"/>
      <c r="AK52" s="26" t="str">
        <f>IF(AL$11&gt;$AB$4,"",Stock!$G$1)</f>
        <v>│</v>
      </c>
      <c r="AL52" s="21"/>
      <c r="AM52" s="89" t="str">
        <f>IF(AN$11&gt;$AB$4,"",$BD$2)</f>
        <v>│</v>
      </c>
      <c r="AN52" s="21"/>
      <c r="AO52" s="26" t="str">
        <f>IF(AP$11&gt;$AB$4,"",Stock!$G$1)</f>
        <v>│</v>
      </c>
      <c r="AP52" s="21"/>
      <c r="AQ52" s="81" t="str">
        <f>IF(AR$11&gt;$AB$4,"",$BD$2)</f>
        <v>│</v>
      </c>
      <c r="AR52" s="21"/>
      <c r="AS52" s="26" t="str">
        <f>IF(AT$11&gt;$AB$4,"",Stock!$G$1)</f>
        <v>│</v>
      </c>
      <c r="AT52" s="21"/>
      <c r="AU52" s="81" t="str">
        <f>IF(AV$11&gt;$AB$4,"",$BD$2)</f>
        <v>│</v>
      </c>
      <c r="AV52" s="21"/>
      <c r="AW52" s="85" t="str">
        <f>IF(AX$11&gt;$AB$4,"",Stock!$G$1)</f>
        <v>│</v>
      </c>
      <c r="AX52" s="21"/>
      <c r="AY52" s="81" t="str">
        <f>IF(AZ$11&gt;$AB$4,"",$BD$2)</f>
        <v>│</v>
      </c>
      <c r="AZ52" s="21"/>
      <c r="BA52" s="26" t="str">
        <f>IF(BB$11&gt;$AB$4,"",Stock!$G$1)</f>
        <v>│</v>
      </c>
      <c r="BB52" s="21"/>
      <c r="BC52" s="81" t="str">
        <f>IF(BD$11&gt;$AB$4,"",$BD$2)</f>
        <v>│</v>
      </c>
      <c r="BD52" s="22"/>
      <c r="BE52" s="71"/>
    </row>
    <row r="53" spans="2:57" x14ac:dyDescent="0.2">
      <c r="B53" s="19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96"/>
      <c r="P53" s="21"/>
      <c r="Q53" s="68"/>
      <c r="R53" s="21">
        <f>IF(R$11=$AB$4,MAX(Stock!Q52-$AD$4,0),IF(R$11&lt;$AB$4,($AJ$4*(T51-T55)+T55)/$AH$4,""))</f>
        <v>149.90255039301547</v>
      </c>
      <c r="S53" s="82">
        <f>IF(R$11&lt;$AB$4,211,"")</f>
        <v>211</v>
      </c>
      <c r="T53" s="21"/>
      <c r="U53" s="90"/>
      <c r="V53" s="21">
        <f>IF(V$11=$AB$4,MAX(Stock!U52-$AD$4,0),IF(V$11&lt;$AB$4,($AJ$4*(X51-X55)+X55)/$AH$4,""))</f>
        <v>148.97817129891922</v>
      </c>
      <c r="W53" s="82">
        <f>IF(V$11&lt;$AB$4,272,"")</f>
        <v>272</v>
      </c>
      <c r="X53" s="21"/>
      <c r="Y53" s="90"/>
      <c r="Z53" s="21">
        <f>IF(Z$11=$AB$4,MAX(Stock!Y52-$AD$4,0),IF(Z$11&lt;$AB$4,($AJ$4*(AB51-AB55)+AB55)/$AH$4,""))</f>
        <v>148.097559948856</v>
      </c>
      <c r="AA53" s="82">
        <f>IF(Z$11&lt;$AB$4,333,"")</f>
        <v>333</v>
      </c>
      <c r="AB53" s="21"/>
      <c r="AC53" s="90"/>
      <c r="AD53" s="21">
        <f>IF(AD$11=$AB$4,MAX(Stock!AC52-$AD$4,0),IF(AD$11&lt;$AB$4,($AJ$4*(AF51-AF55)+AF55)/$AH$4,""))</f>
        <v>147.27167057031156</v>
      </c>
      <c r="AE53" s="82">
        <f>IF(AD$11&lt;$AB$4,394,"")</f>
        <v>394</v>
      </c>
      <c r="AF53" s="21"/>
      <c r="AG53" s="90"/>
      <c r="AH53" s="21">
        <f>IF(AH$11=$AB$4,MAX(Stock!AG52-$AD$4,0),IF(AH$11&lt;$AB$4,($AJ$4*(AJ51-AJ55)+AJ55)/$AH$4,""))</f>
        <v>146.51279219752033</v>
      </c>
      <c r="AI53" s="90">
        <v>455</v>
      </c>
      <c r="AJ53" s="21"/>
      <c r="AK53" s="68"/>
      <c r="AL53" s="21">
        <f>IF(AL$11=$AB$4,MAX(Stock!AK52-$AD$4,0),IF(AL$11&lt;$AB$4,($AJ$4*(AN51-AN55)+AN55)/$AH$4,""))</f>
        <v>145.8327260741452</v>
      </c>
      <c r="AM53" s="82">
        <f>IF(AL$11&lt;$AB$4,516,"")</f>
        <v>516</v>
      </c>
      <c r="AN53" s="21"/>
      <c r="AO53" s="81"/>
      <c r="AP53" s="21">
        <f>IF(AP$11=$AB$4,MAX(Stock!AO52-$AD$4,0),IF(AP$11&lt;$AB$4,($AJ$4*(AR51-AR55)+AR55)/$AH$4,""))</f>
        <v>145.23710827755747</v>
      </c>
      <c r="AQ53" s="82">
        <f>IF(AP$11&lt;$AB$4,577,"")</f>
        <v>577</v>
      </c>
      <c r="AR53" s="21"/>
      <c r="AS53" s="68"/>
      <c r="AT53" s="21">
        <f>IF(AT$11=$AB$4,MAX(Stock!AS52-$AD$4,0),IF(AT$11&lt;$AB$4,($AJ$4*(AV51-AV55)+AV55)/$AH$4,""))</f>
        <v>144.70995216971005</v>
      </c>
      <c r="AU53" s="82">
        <f>IF(AT$11&lt;$AB$4,638,"")</f>
        <v>638</v>
      </c>
      <c r="AV53" s="21"/>
      <c r="AW53" s="83"/>
      <c r="AX53" s="21">
        <f>IF(AX$11=$AB$4,MAX(Stock!AW52-$AD$4,0),IF(AX$11&lt;$AB$4,($AJ$4*(AZ51-AZ55)+AZ55)/$AH$4,""))</f>
        <v>144.18209810321068</v>
      </c>
      <c r="AY53" s="82">
        <f>IF(AX$11&lt;$AB$4,699,"")</f>
        <v>699</v>
      </c>
      <c r="AZ53" s="21"/>
      <c r="BA53" s="68"/>
      <c r="BB53" s="21">
        <f>IF(BB$11=$AB$4,MAX(Stock!BA52-$AD$4,0),IF(BB$11&lt;$AB$4,($AJ$4*(BD51-BD55)+BD55)/$AH$4,""))</f>
        <v>143.65354515395677</v>
      </c>
      <c r="BC53" s="82">
        <f>IF(BB$11&lt;$AB$4,760,"")</f>
        <v>760</v>
      </c>
      <c r="BD53" s="22"/>
      <c r="BE53" s="71"/>
    </row>
    <row r="54" spans="2:57" ht="13.5" x14ac:dyDescent="0.2">
      <c r="B54" s="19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5"/>
      <c r="N54" s="21"/>
      <c r="O54" s="96"/>
      <c r="P54" s="21"/>
      <c r="Q54" s="91" t="str">
        <f>IF(R$11&gt;$AB$4,"",$BD$2)</f>
        <v>│</v>
      </c>
      <c r="R54" s="21"/>
      <c r="S54" s="92" t="str">
        <f>IF(T$11&gt;$AB$4,"",Stock!$G$1)</f>
        <v>│</v>
      </c>
      <c r="T54" s="21"/>
      <c r="U54" s="91" t="str">
        <f>IF(V$11&gt;$AB$4,"",$BD$2)</f>
        <v>│</v>
      </c>
      <c r="V54" s="21"/>
      <c r="W54" s="92" t="str">
        <f>IF(X$11&gt;$AB$4,"",Stock!$G$1)</f>
        <v>│</v>
      </c>
      <c r="X54" s="21"/>
      <c r="Y54" s="91" t="str">
        <f>IF(Z$11&gt;$AB$4,"",$BD$2)</f>
        <v>│</v>
      </c>
      <c r="Z54" s="21"/>
      <c r="AA54" s="94" t="str">
        <f>IF(AB$11&gt;$AB$4,"",Stock!$G$1)</f>
        <v>│</v>
      </c>
      <c r="AB54" s="21"/>
      <c r="AC54" s="91" t="str">
        <f>IF(AD$11&gt;$AB$4,"",$BD$2)</f>
        <v>│</v>
      </c>
      <c r="AD54" s="21"/>
      <c r="AE54" s="92" t="str">
        <f>IF(AF$11&gt;$AB$4,"",Stock!$G$1)</f>
        <v>│</v>
      </c>
      <c r="AF54" s="21"/>
      <c r="AG54" s="91" t="str">
        <f>IF(AH$11&gt;$AB$4,"",$BD$2)</f>
        <v>│</v>
      </c>
      <c r="AH54" s="21"/>
      <c r="AI54" s="92" t="str">
        <f>IF(AJ$11&gt;$AB$4,"",Stock!$G$1)</f>
        <v>│</v>
      </c>
      <c r="AJ54" s="21"/>
      <c r="AK54" s="81" t="str">
        <f>IF(AL$11&gt;$AB$4,"",$BD$2)</f>
        <v>│</v>
      </c>
      <c r="AL54" s="21"/>
      <c r="AM54" s="87" t="str">
        <f>IF(AN$11&gt;$AB$4,"",Stock!$G$1)</f>
        <v>│</v>
      </c>
      <c r="AN54" s="21"/>
      <c r="AO54" s="81" t="str">
        <f>IF(AP$11&gt;$AB$4,"",$BD$2)</f>
        <v>│</v>
      </c>
      <c r="AP54" s="21"/>
      <c r="AQ54" s="26" t="str">
        <f>IF(AR$11&gt;$AB$4,"",Stock!$G$1)</f>
        <v>│</v>
      </c>
      <c r="AR54" s="21"/>
      <c r="AS54" s="81" t="str">
        <f>IF(AT$11&gt;$AB$4,"",$BD$2)</f>
        <v>│</v>
      </c>
      <c r="AT54" s="21"/>
      <c r="AU54" s="26" t="str">
        <f>IF(AV$11&gt;$AB$4,"",Stock!$G$1)</f>
        <v>│</v>
      </c>
      <c r="AV54" s="21"/>
      <c r="AW54" s="84" t="str">
        <f>IF(AX$11&gt;$AB$4,"",$BD$2)</f>
        <v>│</v>
      </c>
      <c r="AX54" s="21"/>
      <c r="AY54" s="26" t="str">
        <f>IF(AZ$11&gt;$AB$4,"",Stock!$G$1)</f>
        <v>│</v>
      </c>
      <c r="AZ54" s="21"/>
      <c r="BA54" s="81" t="str">
        <f>IF(BB$11&gt;$AB$4,"",$BD$2)</f>
        <v>│</v>
      </c>
      <c r="BB54" s="21"/>
      <c r="BC54" s="26" t="str">
        <f>IF(BD$11&gt;$AB$4,"",Stock!$G$1)</f>
        <v>│</v>
      </c>
      <c r="BD54" s="22"/>
      <c r="BE54" s="71"/>
    </row>
    <row r="55" spans="2:57" x14ac:dyDescent="0.2">
      <c r="B55" s="19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68"/>
      <c r="P55" s="21">
        <f>IF(P$11=$AB$4,MAX(Stock!O54-$AD$4,0),IF(P$11&lt;$AB$4,($AJ$4*(R53-R57)+R57)/$AH$4,""))</f>
        <v>128.29831284416488</v>
      </c>
      <c r="Q55" s="82">
        <f>IF(P$11&lt;$AB$4,181,"")</f>
        <v>181</v>
      </c>
      <c r="R55" s="21"/>
      <c r="S55" s="90"/>
      <c r="T55" s="21">
        <f>IF(T$11=$AB$4,MAX(Stock!S54-$AD$4,0),IF(T$11&lt;$AB$4,($AJ$4*(V53-V57)+V57)/$AH$4,""))</f>
        <v>127.18437142081615</v>
      </c>
      <c r="U55" s="82">
        <f>IF(T$11&lt;$AB$4,242,"")</f>
        <v>242</v>
      </c>
      <c r="V55" s="21"/>
      <c r="W55" s="90"/>
      <c r="X55" s="21">
        <f>IF(X$11=$AB$4,MAX(Stock!W54-$AD$4,0),IF(X$11&lt;$AB$4,($AJ$4*(Z53-Z57)+Z57)/$AH$4,""))</f>
        <v>126.09991015287059</v>
      </c>
      <c r="Y55" s="82">
        <f>IF(X$11&lt;$AB$4,303,"")</f>
        <v>303</v>
      </c>
      <c r="Z55" s="21"/>
      <c r="AA55" s="82"/>
      <c r="AB55" s="21">
        <f>IF(AB$11=$AB$4,MAX(Stock!AA54-$AD$4,0),IF(AB$11&lt;$AB$4,($AJ$4*(AD53-AD57)+AD57)/$AH$4,""))</f>
        <v>125.05717313303188</v>
      </c>
      <c r="AC55" s="82">
        <f>IF(AB$11&lt;$AB$4,364,"")</f>
        <v>364</v>
      </c>
      <c r="AD55" s="21"/>
      <c r="AE55" s="90"/>
      <c r="AF55" s="21">
        <f>IF(AF$11=$AB$4,MAX(Stock!AE54-$AD$4,0),IF(AF$11&lt;$AB$4,($AJ$4*(AH53-AH57)+AH57)/$AH$4,""))</f>
        <v>124.07251054972153</v>
      </c>
      <c r="AG55" s="90">
        <v>425</v>
      </c>
      <c r="AH55" s="21"/>
      <c r="AI55" s="90"/>
      <c r="AJ55" s="21">
        <f>IF(AJ$11=$AB$4,MAX(Stock!AI54-$AD$4,0),IF(AJ$11&lt;$AB$4,($AJ$4*(AL53-AL57)+AL57)/$AH$4,""))</f>
        <v>123.16745614955272</v>
      </c>
      <c r="AK55" s="82">
        <f>IF(AJ$11&lt;$AB$4,486,"")</f>
        <v>486</v>
      </c>
      <c r="AL55" s="21"/>
      <c r="AM55" s="88"/>
      <c r="AN55" s="21">
        <f>IF(AN$11=$AB$4,MAX(Stock!AM54-$AD$4,0),IF(AN$11&lt;$AB$4,($AJ$4*(AP53-AP57)+AP57)/$AH$4,""))</f>
        <v>122.36893199236376</v>
      </c>
      <c r="AO55" s="82">
        <f>IF(AN$11&lt;$AB$4,547,"")</f>
        <v>547</v>
      </c>
      <c r="AP55" s="21"/>
      <c r="AQ55" s="68"/>
      <c r="AR55" s="21">
        <f>IF(AR$11=$AB$4,MAX(Stock!AQ54-$AD$4,0),IF(AR$11&lt;$AB$4,($AJ$4*(AT53-AT57)+AT57)/$AH$4,""))</f>
        <v>121.7046453347763</v>
      </c>
      <c r="AS55" s="82">
        <f>IF(AR$11&lt;$AB$4,608,"")</f>
        <v>608</v>
      </c>
      <c r="AT55" s="21"/>
      <c r="AU55" s="68"/>
      <c r="AV55" s="21">
        <f>IF(AV$11=$AB$4,MAX(Stock!AU54-$AD$4,0),IF(AV$11&lt;$AB$4,($AJ$4*(AX53-AX57)+AX57)/$AH$4,""))</f>
        <v>121.17714036303931</v>
      </c>
      <c r="AW55" s="82">
        <f>IF(AV$11&lt;$AB$4,669,"")</f>
        <v>669</v>
      </c>
      <c r="AX55" s="21"/>
      <c r="AY55" s="68"/>
      <c r="AZ55" s="21">
        <f>IF(AZ$11=$AB$4,MAX(Stock!AY54-$AD$4,0),IF(AZ$11&lt;$AB$4,($AJ$4*(BB53-BB57)+BB57)/$AH$4,""))</f>
        <v>120.64893697075192</v>
      </c>
      <c r="BA55" s="82">
        <f>IF(AZ$11&lt;$AB$4,730,"")</f>
        <v>730</v>
      </c>
      <c r="BB55" s="21"/>
      <c r="BC55" s="68"/>
      <c r="BD55" s="22">
        <f>IF(BD$11=$AB$4,MAX(Stock!BC54-$AD$4,0),IF(BD$11&lt;$AB$4,($AJ$4*(BE53-BE57)+BE57)/$AH$4,""))</f>
        <v>120.12003423320004</v>
      </c>
      <c r="BE55" s="71"/>
    </row>
    <row r="56" spans="2:57" ht="13.5" x14ac:dyDescent="0.2">
      <c r="B56" s="19"/>
      <c r="C56" s="21"/>
      <c r="D56" s="21"/>
      <c r="E56" s="21"/>
      <c r="F56" s="21"/>
      <c r="G56" s="21"/>
      <c r="H56" s="21"/>
      <c r="I56" s="21"/>
      <c r="J56" s="21"/>
      <c r="K56" s="68"/>
      <c r="L56" s="21"/>
      <c r="M56" s="21"/>
      <c r="N56" s="21"/>
      <c r="O56" s="81" t="str">
        <f>IF(P$11&gt;$AB$4,"",$BD$2)</f>
        <v>│</v>
      </c>
      <c r="P56" s="21"/>
      <c r="Q56" s="92" t="str">
        <f>IF(R$11&gt;$AB$4,"",Stock!$G$1)</f>
        <v>│</v>
      </c>
      <c r="R56" s="21"/>
      <c r="S56" s="91" t="str">
        <f>IF(T$11&gt;$AB$4,"",$BD$2)</f>
        <v>│</v>
      </c>
      <c r="T56" s="21"/>
      <c r="U56" s="92" t="str">
        <f>IF(V$11&gt;$AB$4,"",Stock!$G$1)</f>
        <v>│</v>
      </c>
      <c r="V56" s="21"/>
      <c r="W56" s="91" t="str">
        <f>IF(X$11&gt;$AB$4,"",$BD$2)</f>
        <v>│</v>
      </c>
      <c r="X56" s="21"/>
      <c r="Y56" s="92" t="str">
        <f>IF(Z$11&gt;$AB$4,"",Stock!$G$1)</f>
        <v>│</v>
      </c>
      <c r="Z56" s="21"/>
      <c r="AA56" s="95" t="str">
        <f>IF(AB$11&gt;$AB$4,"",$BD$2)</f>
        <v>│</v>
      </c>
      <c r="AB56" s="21"/>
      <c r="AC56" s="92" t="str">
        <f>IF(AD$11&gt;$AB$4,"",Stock!$G$1)</f>
        <v>│</v>
      </c>
      <c r="AD56" s="21"/>
      <c r="AE56" s="91" t="str">
        <f>IF(AF$11&gt;$AB$4,"",$BD$2)</f>
        <v>│</v>
      </c>
      <c r="AF56" s="21"/>
      <c r="AG56" s="92" t="str">
        <f>IF(AH$11&gt;$AB$4,"",Stock!$G$1)</f>
        <v>│</v>
      </c>
      <c r="AH56" s="21"/>
      <c r="AI56" s="91" t="str">
        <f>IF(AJ$11&gt;$AB$4,"",$BD$2)</f>
        <v>│</v>
      </c>
      <c r="AJ56" s="21"/>
      <c r="AK56" s="26" t="str">
        <f>IF(AL$11&gt;$AB$4,"",Stock!$G$1)</f>
        <v>│</v>
      </c>
      <c r="AL56" s="21"/>
      <c r="AM56" s="89" t="str">
        <f>IF(AN$11&gt;$AB$4,"",$BD$2)</f>
        <v>│</v>
      </c>
      <c r="AN56" s="21"/>
      <c r="AO56" s="26" t="str">
        <f>IF(AP$11&gt;$AB$4,"",Stock!$G$1)</f>
        <v>│</v>
      </c>
      <c r="AP56" s="21"/>
      <c r="AQ56" s="81" t="str">
        <f>IF(AR$11&gt;$AB$4,"",$BD$2)</f>
        <v>│</v>
      </c>
      <c r="AR56" s="21"/>
      <c r="AS56" s="26" t="str">
        <f>IF(AT$11&gt;$AB$4,"",Stock!$G$1)</f>
        <v>│</v>
      </c>
      <c r="AT56" s="21"/>
      <c r="AU56" s="81" t="str">
        <f>IF(AV$11&gt;$AB$4,"",$BD$2)</f>
        <v>│</v>
      </c>
      <c r="AV56" s="21"/>
      <c r="AW56" s="85" t="str">
        <f>IF(AX$11&gt;$AB$4,"",Stock!$G$1)</f>
        <v>│</v>
      </c>
      <c r="AX56" s="21"/>
      <c r="AY56" s="81" t="str">
        <f>IF(AZ$11&gt;$AB$4,"",$BD$2)</f>
        <v>│</v>
      </c>
      <c r="AZ56" s="21"/>
      <c r="BA56" s="26" t="str">
        <f>IF(BB$11&gt;$AB$4,"",Stock!$G$1)</f>
        <v>│</v>
      </c>
      <c r="BB56" s="21"/>
      <c r="BC56" s="81" t="str">
        <f>IF(BD$11&gt;$AB$4,"",$BD$2)</f>
        <v>│</v>
      </c>
      <c r="BD56" s="22"/>
      <c r="BE56" s="71"/>
    </row>
    <row r="57" spans="2:57" x14ac:dyDescent="0.2">
      <c r="B57" s="19"/>
      <c r="C57" s="21"/>
      <c r="D57" s="21"/>
      <c r="E57" s="21"/>
      <c r="F57" s="21"/>
      <c r="G57" s="21"/>
      <c r="H57" s="21"/>
      <c r="I57" s="21"/>
      <c r="J57" s="21"/>
      <c r="K57" s="68"/>
      <c r="L57" s="21"/>
      <c r="M57" s="86"/>
      <c r="N57" s="21">
        <f>IF(N$11=$AB$4,MAX(Stock!M56-$AD$4,0),IF(N$11&lt;$AB$4,($AJ$4*(P55-P59)+P59)/$AH$4,""))</f>
        <v>108.46173106072823</v>
      </c>
      <c r="O57" s="82">
        <f>IF(N$11&lt;$AB$4,151,"")</f>
        <v>151</v>
      </c>
      <c r="P57" s="21"/>
      <c r="Q57" s="90"/>
      <c r="R57" s="21">
        <f>IF(R$11=$AB$4,MAX(Stock!Q56-$AD$4,0),IF(R$11&lt;$AB$4,($AJ$4*(T55-T59)+T59)/$AH$4,""))</f>
        <v>107.1530117390293</v>
      </c>
      <c r="S57" s="82">
        <f>IF(R$11&lt;$AB$4,212,"")</f>
        <v>212</v>
      </c>
      <c r="T57" s="21"/>
      <c r="U57" s="90"/>
      <c r="V57" s="21">
        <f>IF(V$11=$AB$4,MAX(Stock!U56-$AD$4,0),IF(V$11&lt;$AB$4,($AJ$4*(X55-X59)+X59)/$AH$4,""))</f>
        <v>105.8505903918695</v>
      </c>
      <c r="W57" s="82">
        <f>IF(V$11&lt;$AB$4,273,"")</f>
        <v>273</v>
      </c>
      <c r="X57" s="21"/>
      <c r="Y57" s="90"/>
      <c r="Z57" s="21">
        <f>IF(Z$11=$AB$4,MAX(Stock!Y56-$AD$4,0),IF(Z$11&lt;$AB$4,($AJ$4*(AB55-AB59)+AB59)/$AH$4,""))</f>
        <v>104.5635923304375</v>
      </c>
      <c r="AA57" s="82">
        <f>IF(Z$11&lt;$AB$4,334,"")</f>
        <v>334</v>
      </c>
      <c r="AB57" s="21"/>
      <c r="AC57" s="90"/>
      <c r="AD57" s="21">
        <f>IF(AD$11=$AB$4,MAX(Stock!AC56-$AD$4,0),IF(AD$11&lt;$AB$4,($AJ$4*(AF55-AF59)+AF59)/$AH$4,""))</f>
        <v>103.30555027960816</v>
      </c>
      <c r="AE57" s="82">
        <f>IF(AD$11&lt;$AB$4,395,"")</f>
        <v>395</v>
      </c>
      <c r="AF57" s="21"/>
      <c r="AG57" s="90"/>
      <c r="AH57" s="21">
        <f>IF(AH$11=$AB$4,MAX(Stock!AG56-$AD$4,0),IF(AH$11&lt;$AB$4,($AJ$4*(AJ55-AJ59)+AJ59)/$AH$4,""))</f>
        <v>102.09684251326276</v>
      </c>
      <c r="AI57" s="90">
        <v>456</v>
      </c>
      <c r="AJ57" s="21"/>
      <c r="AK57" s="68"/>
      <c r="AL57" s="21">
        <f>IF(AL$11=$AB$4,MAX(Stock!AK56-$AD$4,0),IF(AL$11&lt;$AB$4,($AJ$4*(AN55-AN59)+AN59)/$AH$4,""))</f>
        <v>100.96863282908811</v>
      </c>
      <c r="AM57" s="82">
        <f>IF(AL$11&lt;$AB$4,517,"")</f>
        <v>517</v>
      </c>
      <c r="AN57" s="21"/>
      <c r="AO57" s="81"/>
      <c r="AP57" s="21">
        <f>IF(AP$11=$AB$4,MAX(Stock!AO56-$AD$4,0),IF(AP$11&lt;$AB$4,($AJ$4*(AR55-AR59)+AR59)/$AH$4,""))</f>
        <v>99.968878673712112</v>
      </c>
      <c r="AQ57" s="82">
        <f>IF(AP$11&lt;$AB$4,578,"")</f>
        <v>578</v>
      </c>
      <c r="AR57" s="21"/>
      <c r="AS57" s="68"/>
      <c r="AT57" s="21">
        <f>IF(AT$11=$AB$4,MAX(Stock!AS56-$AD$4,0),IF(AT$11&lt;$AB$4,($AJ$4*(AV55-AV59)+AV59)/$AH$4,""))</f>
        <v>99.16843057173223</v>
      </c>
      <c r="AU57" s="82">
        <f>IF(AT$11&lt;$AB$4,639,"")</f>
        <v>639</v>
      </c>
      <c r="AV57" s="21"/>
      <c r="AW57" s="83"/>
      <c r="AX57" s="21">
        <f>IF(AX$11=$AB$4,MAX(Stock!AW56-$AD$4,0),IF(AX$11&lt;$AB$4,($AJ$4*(AZ55-AZ59)+AZ59)/$AH$4,""))</f>
        <v>98.640576505232829</v>
      </c>
      <c r="AY57" s="82">
        <f>IF(AX$11&lt;$AB$4,700,"")</f>
        <v>700</v>
      </c>
      <c r="AZ57" s="21"/>
      <c r="BA57" s="68"/>
      <c r="BB57" s="21">
        <f>IF(BB$11=$AB$4,MAX(Stock!BA56-$AD$4,0),IF(BB$11&lt;$AB$4,($AJ$4*(BD55-BD59)+BD59)/$AH$4,""))</f>
        <v>98.112023555978951</v>
      </c>
      <c r="BC57" s="82">
        <f>IF(BB$11&lt;$AB$4,761,"")</f>
        <v>761</v>
      </c>
      <c r="BD57" s="22"/>
      <c r="BE57" s="71"/>
    </row>
    <row r="58" spans="2:57" ht="13.5" x14ac:dyDescent="0.2">
      <c r="B58" s="19"/>
      <c r="C58" s="21"/>
      <c r="D58" s="21"/>
      <c r="E58" s="21"/>
      <c r="F58" s="21"/>
      <c r="G58" s="21"/>
      <c r="H58" s="21"/>
      <c r="I58" s="21"/>
      <c r="J58" s="21"/>
      <c r="K58" s="26"/>
      <c r="L58" s="21"/>
      <c r="M58" s="97" t="str">
        <f>IF(N$11&gt;$AB$4,"",$BD$2)</f>
        <v>│</v>
      </c>
      <c r="N58" s="21"/>
      <c r="O58" s="92" t="str">
        <f>IF(P$11&gt;$AB$4,"",Stock!$G$1)</f>
        <v>│</v>
      </c>
      <c r="P58" s="21"/>
      <c r="Q58" s="91" t="str">
        <f>IF(R$11&gt;$AB$4,"",$BD$2)</f>
        <v>│</v>
      </c>
      <c r="R58" s="21"/>
      <c r="S58" s="92" t="str">
        <f>IF(T$11&gt;$AB$4,"",Stock!$G$1)</f>
        <v>│</v>
      </c>
      <c r="T58" s="21"/>
      <c r="U58" s="91" t="str">
        <f>IF(V$11&gt;$AB$4,"",$BD$2)</f>
        <v>│</v>
      </c>
      <c r="V58" s="21"/>
      <c r="W58" s="92" t="str">
        <f>IF(X$11&gt;$AB$4,"",Stock!$G$1)</f>
        <v>│</v>
      </c>
      <c r="X58" s="21"/>
      <c r="Y58" s="91" t="str">
        <f>IF(Z$11&gt;$AB$4,"",$BD$2)</f>
        <v>│</v>
      </c>
      <c r="Z58" s="21"/>
      <c r="AA58" s="94" t="str">
        <f>IF(AB$11&gt;$AB$4,"",Stock!$G$1)</f>
        <v>│</v>
      </c>
      <c r="AB58" s="21"/>
      <c r="AC58" s="91" t="str">
        <f>IF(AD$11&gt;$AB$4,"",$BD$2)</f>
        <v>│</v>
      </c>
      <c r="AD58" s="21"/>
      <c r="AE58" s="92" t="str">
        <f>IF(AF$11&gt;$AB$4,"",Stock!$G$1)</f>
        <v>│</v>
      </c>
      <c r="AF58" s="21"/>
      <c r="AG58" s="91" t="str">
        <f>IF(AH$11&gt;$AB$4,"",$BD$2)</f>
        <v>│</v>
      </c>
      <c r="AH58" s="21"/>
      <c r="AI58" s="92" t="str">
        <f>IF(AJ$11&gt;$AB$4,"",Stock!$G$1)</f>
        <v>│</v>
      </c>
      <c r="AJ58" s="21"/>
      <c r="AK58" s="81" t="str">
        <f>IF(AL$11&gt;$AB$4,"",$BD$2)</f>
        <v>│</v>
      </c>
      <c r="AL58" s="21"/>
      <c r="AM58" s="87" t="str">
        <f>IF(AN$11&gt;$AB$4,"",Stock!$G$1)</f>
        <v>│</v>
      </c>
      <c r="AN58" s="21"/>
      <c r="AO58" s="81" t="str">
        <f>IF(AP$11&gt;$AB$4,"",$BD$2)</f>
        <v>│</v>
      </c>
      <c r="AP58" s="21"/>
      <c r="AQ58" s="26" t="str">
        <f>IF(AR$11&gt;$AB$4,"",Stock!$G$1)</f>
        <v>│</v>
      </c>
      <c r="AR58" s="21"/>
      <c r="AS58" s="81" t="str">
        <f>IF(AT$11&gt;$AB$4,"",$BD$2)</f>
        <v>│</v>
      </c>
      <c r="AT58" s="21"/>
      <c r="AU58" s="26" t="str">
        <f>IF(AV$11&gt;$AB$4,"",Stock!$G$1)</f>
        <v>│</v>
      </c>
      <c r="AV58" s="21"/>
      <c r="AW58" s="84" t="str">
        <f>IF(AX$11&gt;$AB$4,"",$BD$2)</f>
        <v>│</v>
      </c>
      <c r="AX58" s="21"/>
      <c r="AY58" s="26" t="str">
        <f>IF(AZ$11&gt;$AB$4,"",Stock!$G$1)</f>
        <v>│</v>
      </c>
      <c r="AZ58" s="21"/>
      <c r="BA58" s="81" t="str">
        <f>IF(BB$11&gt;$AB$4,"",$BD$2)</f>
        <v>│</v>
      </c>
      <c r="BB58" s="21"/>
      <c r="BC58" s="26" t="str">
        <f>IF(BD$11&gt;$AB$4,"",Stock!$G$1)</f>
        <v>│</v>
      </c>
      <c r="BD58" s="22"/>
      <c r="BE58" s="71"/>
    </row>
    <row r="59" spans="2:57" x14ac:dyDescent="0.2">
      <c r="B59" s="19"/>
      <c r="C59" s="21"/>
      <c r="D59" s="21"/>
      <c r="E59" s="21"/>
      <c r="F59" s="21"/>
      <c r="G59" s="21"/>
      <c r="H59" s="21"/>
      <c r="I59" s="21"/>
      <c r="J59" s="21"/>
      <c r="K59" s="68"/>
      <c r="L59" s="21">
        <f>IF(L$11=$AB$4,MAX(Stock!K58-$AD$4,0),IF(L$11&lt;$AB$4,($AJ$4*(N57-N61)+N61)/$AH$4,""))</f>
        <v>90.516951494990394</v>
      </c>
      <c r="M59" s="82">
        <f>IF(L$11&lt;$AB$4,121,"")</f>
        <v>121</v>
      </c>
      <c r="N59" s="21"/>
      <c r="O59" s="90"/>
      <c r="P59" s="21">
        <f>IF(P$11=$AB$4,MAX(Stock!O58-$AD$4,0),IF(P$11&lt;$AB$4,($AJ$4*(R57-R61)+R61)/$AH$4,""))</f>
        <v>89.034257520934958</v>
      </c>
      <c r="Q59" s="82">
        <f>IF(P$11&lt;$AB$4,182,"")</f>
        <v>182</v>
      </c>
      <c r="R59" s="21"/>
      <c r="S59" s="90"/>
      <c r="T59" s="21">
        <f>IF(T$11=$AB$4,MAX(Stock!S58-$AD$4,0),IF(T$11&lt;$AB$4,($AJ$4*(V57-V61)+V61)/$AH$4,""))</f>
        <v>87.531656710285645</v>
      </c>
      <c r="U59" s="82">
        <f>IF(T$11&lt;$AB$4,243,"")</f>
        <v>243</v>
      </c>
      <c r="V59" s="21"/>
      <c r="W59" s="90"/>
      <c r="X59" s="21">
        <f>IF(X$11=$AB$4,MAX(Stock!W58-$AD$4,0),IF(X$11&lt;$AB$4,($AJ$4*(Z57-Z61)+Z61)/$AH$4,""))</f>
        <v>86.0124914391657</v>
      </c>
      <c r="Y59" s="82">
        <f>IF(X$11&lt;$AB$4,304,"")</f>
        <v>304</v>
      </c>
      <c r="Z59" s="21"/>
      <c r="AA59" s="82"/>
      <c r="AB59" s="21">
        <f>IF(AB$11=$AB$4,MAX(Stock!AA58-$AD$4,0),IF(AB$11&lt;$AB$4,($AJ$4*(AD57-AD61)+AD61)/$AH$4,""))</f>
        <v>84.482822136734086</v>
      </c>
      <c r="AC59" s="82">
        <f>IF(AB$11&lt;$AB$4,365,"")</f>
        <v>365</v>
      </c>
      <c r="AD59" s="21"/>
      <c r="AE59" s="90"/>
      <c r="AF59" s="21">
        <f>IF(AF$11=$AB$4,MAX(Stock!AE58-$AD$4,0),IF(AF$11&lt;$AB$4,($AJ$4*(AH57-AH61)+AH61)/$AH$4,""))</f>
        <v>82.953419709752907</v>
      </c>
      <c r="AG59" s="90">
        <v>426</v>
      </c>
      <c r="AH59" s="21"/>
      <c r="AI59" s="90"/>
      <c r="AJ59" s="21">
        <f>IF(AJ$11=$AB$4,MAX(Stock!AI58-$AD$4,0),IF(AJ$11&lt;$AB$4,($AJ$4*(AL57-AL61)+AL61)/$AH$4,""))</f>
        <v>81.443549274688166</v>
      </c>
      <c r="AK59" s="82">
        <f>IF(AJ$11&lt;$AB$4,487,"")</f>
        <v>487</v>
      </c>
      <c r="AL59" s="21"/>
      <c r="AM59" s="88"/>
      <c r="AN59" s="21">
        <f>IF(AN$11=$AB$4,MAX(Stock!AM58-$AD$4,0),IF(AN$11&lt;$AB$4,($AJ$4*(AP57-AP61)+AP61)/$AH$4,""))</f>
        <v>79.98860034722945</v>
      </c>
      <c r="AO59" s="82">
        <f>IF(AN$11&lt;$AB$4,548,"")</f>
        <v>548</v>
      </c>
      <c r="AP59" s="21"/>
      <c r="AQ59" s="68"/>
      <c r="AR59" s="21">
        <f>IF(AR$11=$AB$4,MAX(Stock!AQ58-$AD$4,0),IF(AR$11&lt;$AB$4,($AJ$4*(AT57-AT61)+AT61)/$AH$4,""))</f>
        <v>78.65657153956829</v>
      </c>
      <c r="AS59" s="82">
        <f>IF(AR$11&lt;$AB$4,609,"")</f>
        <v>609</v>
      </c>
      <c r="AT59" s="21"/>
      <c r="AU59" s="68"/>
      <c r="AV59" s="21">
        <f>IF(AV$11=$AB$4,MAX(Stock!AU58-$AD$4,0),IF(AV$11&lt;$AB$4,($AJ$4*(AX57-AX61)+AX61)/$AH$4,""))</f>
        <v>77.585795125011714</v>
      </c>
      <c r="AW59" s="82">
        <f>IF(AV$11&lt;$AB$4,670,"")</f>
        <v>670</v>
      </c>
      <c r="AX59" s="21"/>
      <c r="AY59" s="68"/>
      <c r="AZ59" s="21">
        <f>IF(AZ$11=$AB$4,MAX(Stock!AY58-$AD$4,0),IF(AZ$11&lt;$AB$4,($AJ$4*(BB57-BB61)+BB61)/$AH$4,""))</f>
        <v>77.057591732724305</v>
      </c>
      <c r="BA59" s="82">
        <f>IF(AZ$11&lt;$AB$4,731,"")</f>
        <v>731</v>
      </c>
      <c r="BB59" s="21"/>
      <c r="BC59" s="68"/>
      <c r="BD59" s="22">
        <f>IF(BD$11=$AB$4,MAX(Stock!BC58-$AD$4,0),IF(BD$11&lt;$AB$4,($AJ$4*(BE57-BE61)+BE61)/$AH$4,""))</f>
        <v>76.528688995172445</v>
      </c>
      <c r="BE59" s="71"/>
    </row>
    <row r="60" spans="2:57" ht="13.5" x14ac:dyDescent="0.2">
      <c r="B60" s="19"/>
      <c r="C60" s="21"/>
      <c r="D60" s="21"/>
      <c r="E60" s="21"/>
      <c r="F60" s="21"/>
      <c r="G60" s="21"/>
      <c r="H60" s="21"/>
      <c r="I60" s="21"/>
      <c r="J60" s="21"/>
      <c r="K60" s="81" t="str">
        <f>IF(L$11&gt;$AB$4,"",$BD$2)</f>
        <v>│</v>
      </c>
      <c r="L60" s="21"/>
      <c r="M60" s="92" t="str">
        <f>IF(N$11&gt;$AB$4,"",Stock!$G$1)</f>
        <v>│</v>
      </c>
      <c r="N60" s="21"/>
      <c r="O60" s="91" t="str">
        <f>IF(P$11&gt;$AB$4,"",$BD$2)</f>
        <v>│</v>
      </c>
      <c r="P60" s="21"/>
      <c r="Q60" s="92" t="str">
        <f>IF(R$11&gt;$AB$4,"",Stock!$G$1)</f>
        <v>│</v>
      </c>
      <c r="R60" s="21"/>
      <c r="S60" s="91" t="str">
        <f>IF(T$11&gt;$AB$4,"",$BD$2)</f>
        <v>│</v>
      </c>
      <c r="T60" s="21"/>
      <c r="U60" s="92" t="str">
        <f>IF(V$11&gt;$AB$4,"",Stock!$G$1)</f>
        <v>│</v>
      </c>
      <c r="V60" s="21"/>
      <c r="W60" s="91" t="str">
        <f>IF(X$11&gt;$AB$4,"",$BD$2)</f>
        <v>│</v>
      </c>
      <c r="X60" s="21"/>
      <c r="Y60" s="92" t="str">
        <f>IF(Z$11&gt;$AB$4,"",Stock!$G$1)</f>
        <v>│</v>
      </c>
      <c r="Z60" s="21"/>
      <c r="AA60" s="95" t="str">
        <f>IF(AB$11&gt;$AB$4,"",$BD$2)</f>
        <v>│</v>
      </c>
      <c r="AB60" s="21"/>
      <c r="AC60" s="92" t="str">
        <f>IF(AD$11&gt;$AB$4,"",Stock!$G$1)</f>
        <v>│</v>
      </c>
      <c r="AD60" s="21"/>
      <c r="AE60" s="91" t="str">
        <f>IF(AF$11&gt;$AB$4,"",$BD$2)</f>
        <v>│</v>
      </c>
      <c r="AF60" s="21"/>
      <c r="AG60" s="92" t="str">
        <f>IF(AH$11&gt;$AB$4,"",Stock!$G$1)</f>
        <v>│</v>
      </c>
      <c r="AH60" s="21"/>
      <c r="AI60" s="91" t="str">
        <f>IF(AJ$11&gt;$AB$4,"",$BD$2)</f>
        <v>│</v>
      </c>
      <c r="AJ60" s="21"/>
      <c r="AK60" s="26" t="str">
        <f>IF(AL$11&gt;$AB$4,"",Stock!$G$1)</f>
        <v>│</v>
      </c>
      <c r="AL60" s="21"/>
      <c r="AM60" s="89" t="str">
        <f>IF(AN$11&gt;$AB$4,"",$BD$2)</f>
        <v>│</v>
      </c>
      <c r="AN60" s="21"/>
      <c r="AO60" s="26" t="str">
        <f>IF(AP$11&gt;$AB$4,"",Stock!$G$1)</f>
        <v>│</v>
      </c>
      <c r="AP60" s="21"/>
      <c r="AQ60" s="81" t="str">
        <f>IF(AR$11&gt;$AB$4,"",$BD$2)</f>
        <v>│</v>
      </c>
      <c r="AR60" s="21"/>
      <c r="AS60" s="26" t="str">
        <f>IF(AT$11&gt;$AB$4,"",Stock!$G$1)</f>
        <v>│</v>
      </c>
      <c r="AT60" s="21"/>
      <c r="AU60" s="81" t="str">
        <f>IF(AV$11&gt;$AB$4,"",$BD$2)</f>
        <v>│</v>
      </c>
      <c r="AV60" s="21"/>
      <c r="AW60" s="85" t="str">
        <f>IF(AX$11&gt;$AB$4,"",Stock!$G$1)</f>
        <v>│</v>
      </c>
      <c r="AX60" s="21"/>
      <c r="AY60" s="81" t="str">
        <f>IF(AZ$11&gt;$AB$4,"",$BD$2)</f>
        <v>│</v>
      </c>
      <c r="AZ60" s="21"/>
      <c r="BA60" s="26" t="str">
        <f>IF(BB$11&gt;$AB$4,"",Stock!$G$1)</f>
        <v>│</v>
      </c>
      <c r="BB60" s="21"/>
      <c r="BC60" s="81" t="str">
        <f>IF(BD$11&gt;$AB$4,"",$BD$2)</f>
        <v>│</v>
      </c>
      <c r="BD60" s="22"/>
      <c r="BE60" s="71"/>
    </row>
    <row r="61" spans="2:57" x14ac:dyDescent="0.2">
      <c r="B61" s="19"/>
      <c r="C61" s="21"/>
      <c r="D61" s="20"/>
      <c r="E61" s="98"/>
      <c r="F61" s="21"/>
      <c r="G61" s="21"/>
      <c r="H61" s="21"/>
      <c r="I61" s="68"/>
      <c r="J61" s="21">
        <f>IF(J$11=$AB$4,MAX(Stock!I60-$AD$4,0),IF(J$11&lt;$AB$4,($AJ$4*(L59-L63)+L63)/$AH$4,""))</f>
        <v>74.545478734580797</v>
      </c>
      <c r="K61" s="82">
        <f>IF(J$11&lt;$AB$4,91,"")</f>
        <v>91</v>
      </c>
      <c r="L61" s="21"/>
      <c r="M61" s="90"/>
      <c r="N61" s="21">
        <f>IF(N$11=$AB$4,MAX(Stock!M60-$AD$4,0),IF(N$11&lt;$AB$4,($AJ$4*(P59-P63)+P63)/$AH$4,""))</f>
        <v>72.93227110418141</v>
      </c>
      <c r="O61" s="82">
        <f>IF(N$11&lt;$AB$4,152,"")</f>
        <v>152</v>
      </c>
      <c r="P61" s="21"/>
      <c r="Q61" s="90"/>
      <c r="R61" s="21">
        <f>IF(R$11=$AB$4,MAX(Stock!Q60-$AD$4,0),IF(R$11&lt;$AB$4,($AJ$4*(T59-T63)+T63)/$AH$4,""))</f>
        <v>71.275990662828391</v>
      </c>
      <c r="S61" s="82">
        <f>IF(R$11&lt;$AB$4,213,"")</f>
        <v>213</v>
      </c>
      <c r="T61" s="21"/>
      <c r="U61" s="90"/>
      <c r="V61" s="21">
        <f>IF(V$11=$AB$4,MAX(Stock!U60-$AD$4,0),IF(V$11&lt;$AB$4,($AJ$4*(X59-X63)+X63)/$AH$4,""))</f>
        <v>69.57392447950221</v>
      </c>
      <c r="W61" s="82">
        <f>IF(V$11&lt;$AB$4,274,"")</f>
        <v>274</v>
      </c>
      <c r="X61" s="21"/>
      <c r="Y61" s="90"/>
      <c r="Z61" s="21">
        <f>IF(Z$11=$AB$4,MAX(Stock!Y60-$AD$4,0),IF(Z$11&lt;$AB$4,($AJ$4*(AB59-AB63)+AB63)/$AH$4,""))</f>
        <v>67.823714086495954</v>
      </c>
      <c r="AA61" s="82">
        <f>IF(Z$11&lt;$AB$4,335,"")</f>
        <v>335</v>
      </c>
      <c r="AB61" s="21"/>
      <c r="AC61" s="90"/>
      <c r="AD61" s="21">
        <f>IF(AD$11=$AB$4,MAX(Stock!AC60-$AD$4,0),IF(AD$11&lt;$AB$4,($AJ$4*(AF59-AF63)+AF63)/$AH$4,""))</f>
        <v>66.024055979392941</v>
      </c>
      <c r="AE61" s="82">
        <f>IF(AD$11&lt;$AB$4,396,"")</f>
        <v>396</v>
      </c>
      <c r="AF61" s="21"/>
      <c r="AG61" s="90"/>
      <c r="AH61" s="21">
        <f>IF(AH$11=$AB$4,MAX(Stock!AG60-$AD$4,0),IF(AH$11&lt;$AB$4,($AJ$4*(AJ59-AJ63)+AJ63)/$AH$4,""))</f>
        <v>64.176256938660657</v>
      </c>
      <c r="AI61" s="90">
        <v>457</v>
      </c>
      <c r="AJ61" s="21"/>
      <c r="AK61" s="68"/>
      <c r="AL61" s="21">
        <f>IF(AL$11=$AB$4,MAX(Stock!AK60-$AD$4,0),IF(AL$11&lt;$AB$4,($AJ$4*(AN59-AN63)+AN63)/$AH$4,""))</f>
        <v>62.287868592654206</v>
      </c>
      <c r="AM61" s="82">
        <f>IF(AL$11&lt;$AB$4,518,"")</f>
        <v>518</v>
      </c>
      <c r="AN61" s="21"/>
      <c r="AO61" s="81"/>
      <c r="AP61" s="21">
        <f>IF(AP$11=$AB$4,MAX(Stock!AO60-$AD$4,0),IF(AP$11&lt;$AB$4,($AJ$4*(AR59-AR63)+AR63)/$AH$4,""))</f>
        <v>60.381927909387421</v>
      </c>
      <c r="AQ61" s="82">
        <f>IF(AP$11&lt;$AB$4,579,"")</f>
        <v>579</v>
      </c>
      <c r="AR61" s="21"/>
      <c r="AS61" s="68"/>
      <c r="AT61" s="21">
        <f>IF(AT$11=$AB$4,MAX(Stock!AS60-$AD$4,0),IF(AT$11&lt;$AB$4,($AJ$4*(AV59-AV63)+AV63)/$AH$4,""))</f>
        <v>58.523709302029452</v>
      </c>
      <c r="AU61" s="82">
        <f>IF(AT$11&lt;$AB$4,640,"")</f>
        <v>640</v>
      </c>
      <c r="AV61" s="21"/>
      <c r="AW61" s="83"/>
      <c r="AX61" s="21">
        <f>IF(AX$11=$AB$4,MAX(Stock!AW60-$AD$4,0),IF(AX$11&lt;$AB$4,($AJ$4*(AZ59-AZ63)+AZ63)/$AH$4,""))</f>
        <v>56.91589728974332</v>
      </c>
      <c r="AY61" s="82">
        <f>IF(AX$11&lt;$AB$4,701,"")</f>
        <v>701</v>
      </c>
      <c r="AZ61" s="21"/>
      <c r="BA61" s="68"/>
      <c r="BB61" s="21">
        <f>IF(BB$11=$AB$4,MAX(Stock!BA60-$AD$4,0),IF(BB$11&lt;$AB$4,($AJ$4*(BD59-BD63)+BD63)/$AH$4,""))</f>
        <v>56.38734434048942</v>
      </c>
      <c r="BC61" s="82">
        <f>IF(BB$11&lt;$AB$4,762,"")</f>
        <v>762</v>
      </c>
      <c r="BD61" s="22"/>
      <c r="BE61" s="71"/>
    </row>
    <row r="62" spans="2:57" ht="13.5" x14ac:dyDescent="0.2">
      <c r="B62" s="19"/>
      <c r="C62" s="21"/>
      <c r="D62" s="20"/>
      <c r="E62" s="98"/>
      <c r="F62" s="21"/>
      <c r="G62" s="21"/>
      <c r="H62" s="21"/>
      <c r="I62" s="81" t="str">
        <f>IF(J$11&gt;$AB$4,"",$BD$2)</f>
        <v>│</v>
      </c>
      <c r="J62" s="21"/>
      <c r="K62" s="26" t="str">
        <f>IF(L$11&gt;$AB$4,"",Stock!$G$1)</f>
        <v>│</v>
      </c>
      <c r="L62" s="21"/>
      <c r="M62" s="91" t="str">
        <f>IF(N$11&gt;$AB$4,"",$BD$2)</f>
        <v>│</v>
      </c>
      <c r="N62" s="21"/>
      <c r="O62" s="92" t="str">
        <f>IF(P$11&gt;$AB$4,"",Stock!$G$1)</f>
        <v>│</v>
      </c>
      <c r="P62" s="21"/>
      <c r="Q62" s="91" t="str">
        <f>IF(R$11&gt;$AB$4,"",$BD$2)</f>
        <v>│</v>
      </c>
      <c r="R62" s="21"/>
      <c r="S62" s="92" t="str">
        <f>IF(T$11&gt;$AB$4,"",Stock!$G$1)</f>
        <v>│</v>
      </c>
      <c r="T62" s="21"/>
      <c r="U62" s="91" t="str">
        <f>IF(V$11&gt;$AB$4,"",$BD$2)</f>
        <v>│</v>
      </c>
      <c r="V62" s="21"/>
      <c r="W62" s="92" t="str">
        <f>IF(X$11&gt;$AB$4,"",Stock!$G$1)</f>
        <v>│</v>
      </c>
      <c r="X62" s="21"/>
      <c r="Y62" s="91" t="str">
        <f>IF(Z$11&gt;$AB$4,"",$BD$2)</f>
        <v>│</v>
      </c>
      <c r="Z62" s="21"/>
      <c r="AA62" s="94" t="str">
        <f>IF(AB$11&gt;$AB$4,"",Stock!$G$1)</f>
        <v>│</v>
      </c>
      <c r="AB62" s="21"/>
      <c r="AC62" s="91" t="str">
        <f>IF(AD$11&gt;$AB$4,"",$BD$2)</f>
        <v>│</v>
      </c>
      <c r="AD62" s="21"/>
      <c r="AE62" s="92" t="str">
        <f>IF(AF$11&gt;$AB$4,"",Stock!$G$1)</f>
        <v>│</v>
      </c>
      <c r="AF62" s="21"/>
      <c r="AG62" s="91" t="str">
        <f>IF(AH$11&gt;$AB$4,"",$BD$2)</f>
        <v>│</v>
      </c>
      <c r="AH62" s="21"/>
      <c r="AI62" s="92" t="str">
        <f>IF(AJ$11&gt;$AB$4,"",Stock!$G$1)</f>
        <v>│</v>
      </c>
      <c r="AJ62" s="21"/>
      <c r="AK62" s="81" t="str">
        <f>IF(AL$11&gt;$AB$4,"",$BD$2)</f>
        <v>│</v>
      </c>
      <c r="AL62" s="21"/>
      <c r="AM62" s="87" t="str">
        <f>IF(AN$11&gt;$AB$4,"",Stock!$G$1)</f>
        <v>│</v>
      </c>
      <c r="AN62" s="21"/>
      <c r="AO62" s="81" t="str">
        <f>IF(AP$11&gt;$AB$4,"",$BD$2)</f>
        <v>│</v>
      </c>
      <c r="AP62" s="21"/>
      <c r="AQ62" s="26" t="str">
        <f>IF(AR$11&gt;$AB$4,"",Stock!$G$1)</f>
        <v>│</v>
      </c>
      <c r="AR62" s="21"/>
      <c r="AS62" s="81" t="str">
        <f>IF(AT$11&gt;$AB$4,"",$BD$2)</f>
        <v>│</v>
      </c>
      <c r="AT62" s="21"/>
      <c r="AU62" s="26" t="str">
        <f>IF(AV$11&gt;$AB$4,"",Stock!$G$1)</f>
        <v>│</v>
      </c>
      <c r="AV62" s="21"/>
      <c r="AW62" s="84" t="str">
        <f>IF(AX$11&gt;$AB$4,"",$BD$2)</f>
        <v>│</v>
      </c>
      <c r="AX62" s="21"/>
      <c r="AY62" s="26" t="str">
        <f>IF(AZ$11&gt;$AB$4,"",Stock!$G$1)</f>
        <v>│</v>
      </c>
      <c r="AZ62" s="21"/>
      <c r="BA62" s="81" t="str">
        <f>IF(BB$11&gt;$AB$4,"",$BD$2)</f>
        <v>│</v>
      </c>
      <c r="BB62" s="21"/>
      <c r="BC62" s="26" t="str">
        <f>IF(BD$11&gt;$AB$4,"",Stock!$G$1)</f>
        <v>│</v>
      </c>
      <c r="BD62" s="22"/>
      <c r="BE62" s="71"/>
    </row>
    <row r="63" spans="2:57" x14ac:dyDescent="0.2">
      <c r="B63" s="19"/>
      <c r="C63" s="21"/>
      <c r="D63" s="98" t="s">
        <v>36</v>
      </c>
      <c r="E63" s="99"/>
      <c r="F63" s="21"/>
      <c r="G63" s="21"/>
      <c r="H63" s="21">
        <f>IF(H$11=$AB$4,MAX(Stock!G62-Stock!$W$2,0),IF(H$11&lt;$AB$4,($AJ$4*(J61-J65)+J65)/$AH$4,""))</f>
        <v>60.571860615835391</v>
      </c>
      <c r="I63" s="82">
        <f>IF(H$11&lt;$AB$4,61,"")</f>
        <v>61</v>
      </c>
      <c r="J63" s="21"/>
      <c r="K63" s="68"/>
      <c r="L63" s="21">
        <f>IF(L$11=$AB$4,MAX(Stock!K62-Stock!$W$2,0),IF(L$11&lt;$AB$4,($AJ$4*(N61-N65)+N65)/$AH$4,""))</f>
        <v>58.886595282222082</v>
      </c>
      <c r="M63" s="82">
        <f>IF(L$11&lt;$AB$4,122,"")</f>
        <v>122</v>
      </c>
      <c r="N63" s="21"/>
      <c r="O63" s="90"/>
      <c r="P63" s="21">
        <f>IF(P$11=$AB$4,MAX(Stock!O62-$AD$4,0),IF(P$11&lt;$AB$4,($AJ$4*(R61-R65)+R65)/$AH$4,""))</f>
        <v>57.142506673403915</v>
      </c>
      <c r="Q63" s="82">
        <f>IF(P$11&lt;$AB$4,183,"")</f>
        <v>183</v>
      </c>
      <c r="R63" s="21"/>
      <c r="S63" s="90"/>
      <c r="T63" s="21">
        <f>IF(T$11=$AB$4,MAX(Stock!S62-$AD$4,0),IF(T$11&lt;$AB$4,($AJ$4*(V61-V65)+V65)/$AH$4,""))</f>
        <v>55.332433900692394</v>
      </c>
      <c r="U63" s="82">
        <f>IF(T$11&lt;$AB$4,244,"")</f>
        <v>244</v>
      </c>
      <c r="V63" s="21"/>
      <c r="W63" s="90"/>
      <c r="X63" s="21">
        <f>IF(X$11=$AB$4,MAX(Stock!W62-$AD$4,0),IF(X$11&lt;$AB$4,($AJ$4*(Z61-Z65)+Z65)/$AH$4,""))</f>
        <v>53.447686515857647</v>
      </c>
      <c r="Y63" s="82">
        <f>IF(X$11&lt;$AB$4,305,"")</f>
        <v>305</v>
      </c>
      <c r="Z63" s="21"/>
      <c r="AA63" s="82"/>
      <c r="AB63" s="21">
        <f>IF(AB$11=$AB$4,MAX(Stock!AA62-$AD$4,0),IF(AB$11&lt;$AB$4,($AJ$4*(AD61-AD65)+AD65)/$AH$4,""))</f>
        <v>51.477597166463227</v>
      </c>
      <c r="AC63" s="82">
        <f>IF(AB$11&lt;$AB$4,366,"")</f>
        <v>366</v>
      </c>
      <c r="AD63" s="21"/>
      <c r="AE63" s="90"/>
      <c r="AF63" s="21">
        <f>IF(AF$11=$AB$4,MAX(Stock!AE62-$AD$4,0),IF(AF$11&lt;$AB$4,($AJ$4*(AH61-AH65)+AH65)/$AH$4,""))</f>
        <v>49.408948449942052</v>
      </c>
      <c r="AG63" s="90">
        <v>427</v>
      </c>
      <c r="AH63" s="21"/>
      <c r="AI63" s="90"/>
      <c r="AJ63" s="21">
        <f>IF(AJ$11=$AB$4,MAX(Stock!AI62-$AD$4,0),IF(AJ$11&lt;$AB$4,($AJ$4*(AL61-AL65)+AL65)/$AH$4,""))</f>
        <v>47.225331809418414</v>
      </c>
      <c r="AK63" s="82">
        <f>IF(AJ$11&lt;$AB$4,488,"")</f>
        <v>488</v>
      </c>
      <c r="AL63" s="21"/>
      <c r="AM63" s="88"/>
      <c r="AN63" s="21">
        <f>IF(AN$11=$AB$4,MAX(Stock!AM62-$AD$4,0),IF(AN$11&lt;$AB$4,($AJ$4*(AP61-AP65)+AP65)/$AH$4,""))</f>
        <v>44.906844932035042</v>
      </c>
      <c r="AO63" s="82">
        <f>IF(AN$11&lt;$AB$4,549,"")</f>
        <v>549</v>
      </c>
      <c r="AP63" s="21"/>
      <c r="AQ63" s="68"/>
      <c r="AR63" s="21">
        <f>IF(AR$11=$AB$4,MAX(Stock!AQ62-$AD$4,0),IF(AR$11&lt;$AB$4,($AJ$4*(AT61-AT65)+AT65)/$AH$4,""))</f>
        <v>42.432197513591859</v>
      </c>
      <c r="AS63" s="82">
        <f>IF(AR$11&lt;$AB$4,610,"")</f>
        <v>610</v>
      </c>
      <c r="AT63" s="21"/>
      <c r="AU63" s="68"/>
      <c r="AV63" s="21">
        <f>IF(AV$11=$AB$4,MAX(Stock!AU62-$AD$4,0),IF(AV$11&lt;$AB$4,($AJ$4*(AX61-AX65)+AX65)/$AH$4,""))</f>
        <v>39.79467349668468</v>
      </c>
      <c r="AW63" s="82">
        <f>IF(AV$11&lt;$AB$4,671,"")</f>
        <v>671</v>
      </c>
      <c r="AX63" s="21"/>
      <c r="AY63" s="68"/>
      <c r="AZ63" s="21">
        <f>IF(AZ$11=$AB$4,MAX(Stock!AY62-$AD$4,0),IF(AZ$11&lt;$AB$4,($AJ$4*(BB61-BB65)+BB65)/$AH$4,""))</f>
        <v>37.119644277118852</v>
      </c>
      <c r="BA63" s="82">
        <f>IF(AZ$11&lt;$AB$4,732,"")</f>
        <v>732</v>
      </c>
      <c r="BB63" s="21"/>
      <c r="BC63" s="68"/>
      <c r="BD63" s="22">
        <f>IF(BD$11=$AB$4,MAX(Stock!BC62-$AD$4,0),IF(BD$11&lt;$AB$4,($AJ$4*(BE61-BE65)+BE65)/$AH$4,""))</f>
        <v>36.590741539566977</v>
      </c>
      <c r="BE63" s="71"/>
    </row>
    <row r="64" spans="2:57" ht="13.5" x14ac:dyDescent="0.2">
      <c r="B64" s="19"/>
      <c r="C64" s="21"/>
      <c r="D64" s="99" t="s">
        <v>33</v>
      </c>
      <c r="E64" s="99"/>
      <c r="F64" s="21"/>
      <c r="G64" s="100" t="str">
        <f>IF(H$11&gt;$AB$4,"",$BD$2)</f>
        <v>│</v>
      </c>
      <c r="H64" s="21"/>
      <c r="I64" s="92" t="str">
        <f>IF(J$11&gt;$AB$4,"",Stock!$G$1)</f>
        <v>│</v>
      </c>
      <c r="J64" s="21"/>
      <c r="K64" s="81" t="str">
        <f>IF(L$11&gt;$AB$4,"",$BD$2)</f>
        <v>│</v>
      </c>
      <c r="L64" s="21"/>
      <c r="M64" s="92" t="str">
        <f>IF(N$11&gt;$AB$4,"",Stock!$G$1)</f>
        <v>│</v>
      </c>
      <c r="N64" s="21"/>
      <c r="O64" s="91" t="str">
        <f>IF(P$11&gt;$AB$4,"",$BD$2)</f>
        <v>│</v>
      </c>
      <c r="P64" s="21"/>
      <c r="Q64" s="92" t="str">
        <f>IF(R$11&gt;$AB$4,"",Stock!$G$1)</f>
        <v>│</v>
      </c>
      <c r="R64" s="21"/>
      <c r="S64" s="91" t="str">
        <f>IF(T$11&gt;$AB$4,"",$BD$2)</f>
        <v>│</v>
      </c>
      <c r="T64" s="21"/>
      <c r="U64" s="92" t="str">
        <f>IF(V$11&gt;$AB$4,"",Stock!$G$1)</f>
        <v>│</v>
      </c>
      <c r="V64" s="21"/>
      <c r="W64" s="91" t="str">
        <f>IF(X$11&gt;$AB$4,"",$BD$2)</f>
        <v>│</v>
      </c>
      <c r="X64" s="21"/>
      <c r="Y64" s="92" t="str">
        <f>IF(Z$11&gt;$AB$4,"",Stock!$G$1)</f>
        <v>│</v>
      </c>
      <c r="Z64" s="21"/>
      <c r="AA64" s="95" t="str">
        <f>IF(AB$11&gt;$AB$4,"",$BD$2)</f>
        <v>│</v>
      </c>
      <c r="AB64" s="21"/>
      <c r="AC64" s="92" t="str">
        <f>IF(AD$11&gt;$AB$4,"",Stock!$G$1)</f>
        <v>│</v>
      </c>
      <c r="AD64" s="21"/>
      <c r="AE64" s="91" t="str">
        <f>IF(AF$11&gt;$AB$4,"",$BD$2)</f>
        <v>│</v>
      </c>
      <c r="AF64" s="21"/>
      <c r="AG64" s="92" t="str">
        <f>IF(AH$11&gt;$AB$4,"",Stock!$G$1)</f>
        <v>│</v>
      </c>
      <c r="AH64" s="21"/>
      <c r="AI64" s="91" t="str">
        <f>IF(AJ$11&gt;$AB$4,"",$BD$2)</f>
        <v>│</v>
      </c>
      <c r="AJ64" s="21"/>
      <c r="AK64" s="26" t="str">
        <f>IF(AL$11&gt;$AB$4,"",Stock!$G$1)</f>
        <v>│</v>
      </c>
      <c r="AL64" s="21"/>
      <c r="AM64" s="89" t="str">
        <f>IF(AN$11&gt;$AB$4,"",$BD$2)</f>
        <v>│</v>
      </c>
      <c r="AN64" s="21"/>
      <c r="AO64" s="26" t="str">
        <f>IF(AP$11&gt;$AB$4,"",Stock!$G$1)</f>
        <v>│</v>
      </c>
      <c r="AP64" s="21"/>
      <c r="AQ64" s="81" t="str">
        <f>IF(AR$11&gt;$AB$4,"",$BD$2)</f>
        <v>│</v>
      </c>
      <c r="AR64" s="21"/>
      <c r="AS64" s="26" t="str">
        <f>IF(AT$11&gt;$AB$4,"",Stock!$G$1)</f>
        <v>│</v>
      </c>
      <c r="AT64" s="21"/>
      <c r="AU64" s="81" t="str">
        <f>IF(AV$11&gt;$AB$4,"",$BD$2)</f>
        <v>│</v>
      </c>
      <c r="AV64" s="21"/>
      <c r="AW64" s="85" t="str">
        <f>IF(AX$11&gt;$AB$4,"",Stock!$G$1)</f>
        <v>│</v>
      </c>
      <c r="AX64" s="21"/>
      <c r="AY64" s="81" t="str">
        <f>IF(AZ$11&gt;$AB$4,"",$BD$2)</f>
        <v>│</v>
      </c>
      <c r="AZ64" s="21"/>
      <c r="BA64" s="26" t="str">
        <f>IF(BB$11&gt;$AB$4,"",Stock!$G$1)</f>
        <v>│</v>
      </c>
      <c r="BB64" s="21"/>
      <c r="BC64" s="81" t="str">
        <f>IF(BD$11&gt;$AB$4,"",$BD$2)</f>
        <v>│</v>
      </c>
      <c r="BD64" s="22"/>
      <c r="BE64" s="71"/>
    </row>
    <row r="65" spans="2:57" x14ac:dyDescent="0.2">
      <c r="B65" s="19"/>
      <c r="C65" s="21"/>
      <c r="D65" s="101"/>
      <c r="E65" s="101"/>
      <c r="F65" s="21">
        <f>IF(F$11=$AB$4,MAX(Stock!E64-$AD$4,0),IF(F$11&lt;$AB$4,($AJ$4*(H63-H67)+H67)/$AH$4,""))</f>
        <v>48.558905876501406</v>
      </c>
      <c r="G65" s="82">
        <f>IF(F$11&lt;AB$4,31,"")</f>
        <v>31</v>
      </c>
      <c r="H65" s="21"/>
      <c r="I65" s="90"/>
      <c r="J65" s="21">
        <f>IF(J$11=$AB$4,MAX(Stock!I64-$AD$4,0),IF(J$11&lt;$AB$4,($AJ$4*(L63-L67)+L67)/$AH$4,""))</f>
        <v>46.865618659589678</v>
      </c>
      <c r="K65" s="82">
        <f>IF(J$11&lt;$AB$4,92,"")</f>
        <v>92</v>
      </c>
      <c r="L65" s="21"/>
      <c r="M65" s="90"/>
      <c r="N65" s="21">
        <f>IF(N$11=$AB$4,MAX(Stock!M64-$AD$4,0),IF(N$11&lt;$AB$4,($AJ$4*(P63-P67)+P67)/$AH$4,""))</f>
        <v>45.107048178369645</v>
      </c>
      <c r="O65" s="82">
        <f>IF(N$11&lt;$AB$4,153,"")</f>
        <v>153</v>
      </c>
      <c r="P65" s="21"/>
      <c r="Q65" s="90"/>
      <c r="R65" s="21">
        <f>IF(R$11=$AB$4,MAX(Stock!Q64-$AD$4,0),IF(R$11&lt;$AB$4,($AJ$4*(T63-T67)+T67)/$AH$4,""))</f>
        <v>43.274038240643989</v>
      </c>
      <c r="S65" s="82">
        <f>IF(R$11&lt;$AB$4,214,"")</f>
        <v>214</v>
      </c>
      <c r="T65" s="21"/>
      <c r="U65" s="90"/>
      <c r="V65" s="21">
        <f>IF(V$11=$AB$4,MAX(Stock!U64-$AD$4,0),IF(V$11&lt;$AB$4,($AJ$4*(X63-X67)+X67)/$AH$4,""))</f>
        <v>41.355030346682717</v>
      </c>
      <c r="W65" s="82">
        <f>IF(V$11&lt;$AB$4,275,"")</f>
        <v>275</v>
      </c>
      <c r="X65" s="21"/>
      <c r="Y65" s="90"/>
      <c r="Z65" s="21">
        <f>IF(Z$11=$AB$4,MAX(Stock!Y64-$AD$4,0),IF(Z$11&lt;$AB$4,($AJ$4*(AB63-AB67)+AB67)/$AH$4,""))</f>
        <v>39.335075716421798</v>
      </c>
      <c r="AA65" s="82">
        <f>IF(Z$11&lt;$AB$4,336,"")</f>
        <v>336</v>
      </c>
      <c r="AB65" s="21"/>
      <c r="AC65" s="90"/>
      <c r="AD65" s="21">
        <f>IF(AD$11=$AB$4,MAX(Stock!AC64-$AD$4,0),IF(AD$11&lt;$AB$4,($AJ$4*(AF63-AF67)+AF67)/$AH$4,""))</f>
        <v>37.194254933999339</v>
      </c>
      <c r="AE65" s="82">
        <f>IF(AD$11&lt;$AB$4,397,"")</f>
        <v>397</v>
      </c>
      <c r="AF65" s="21"/>
      <c r="AG65" s="90"/>
      <c r="AH65" s="21">
        <f>IF(AH$11=$AB$4,MAX(Stock!AG64-$AD$4,0),IF(AH$11&lt;$AB$4,($AJ$4*(AJ63-AJ67)+AJ67)/$AH$4,""))</f>
        <v>34.905004178006834</v>
      </c>
      <c r="AI65" s="90">
        <v>458</v>
      </c>
      <c r="AJ65" s="21"/>
      <c r="AK65" s="68"/>
      <c r="AL65" s="21">
        <f>IF(AL$11=$AB$4,MAX(Stock!AK64-$AD$4,0),IF(AL$11&lt;$AB$4,($AJ$4*(AN63-AN67)+AN67)/$AH$4,""))</f>
        <v>32.427255053352347</v>
      </c>
      <c r="AM65" s="82">
        <f>IF(AL$11&lt;$AB$4,519,"")</f>
        <v>519</v>
      </c>
      <c r="AN65" s="21"/>
      <c r="AO65" s="81"/>
      <c r="AP65" s="21">
        <f>IF(AP$11=$AB$4,MAX(Stock!AO64-$AD$4,0),IF(AP$11&lt;$AB$4,($AJ$4*(AR63-AR67)+AR67)/$AH$4,""))</f>
        <v>29.698716715315086</v>
      </c>
      <c r="AQ65" s="82">
        <f>IF(AP$11&lt;$AB$4,580,"")</f>
        <v>580</v>
      </c>
      <c r="AR65" s="21"/>
      <c r="AS65" s="68"/>
      <c r="AT65" s="21">
        <f>IF(AT$11=$AB$4,MAX(Stock!AS64-$AD$4,0),IF(AT$11&lt;$AB$4,($AJ$4*(AV63-AV67)+AV67)/$AH$4,""))</f>
        <v>26.61266919961276</v>
      </c>
      <c r="AU65" s="82">
        <f>IF(AT$11&lt;$AB$4,641,"")</f>
        <v>641</v>
      </c>
      <c r="AV65" s="21"/>
      <c r="AW65" s="83"/>
      <c r="AX65" s="21">
        <f>IF(AX$11=$AB$4,MAX(Stock!AW64-$AD$4,0),IF(AX$11&lt;$AB$4,($AJ$4*(AZ63-AZ67)+AZ67)/$AH$4,""))</f>
        <v>22.955800461014697</v>
      </c>
      <c r="AY65" s="82">
        <f>IF(AX$11&lt;$AB$4,702,"")</f>
        <v>702</v>
      </c>
      <c r="AZ65" s="21"/>
      <c r="BA65" s="81"/>
      <c r="BB65" s="21">
        <f>IF(BB$11=$AB$4,MAX(Stock!BA64-$AD$4,0),IF(BB$11&lt;$AB$4,($AJ$4*(BD63-BD67)+BD67)/$AH$4,""))</f>
        <v>18.159617322409133</v>
      </c>
      <c r="BC65" s="82">
        <f>IF(BB$11&lt;$AB$4,763,"")</f>
        <v>763</v>
      </c>
      <c r="BD65" s="22"/>
      <c r="BE65" s="71"/>
    </row>
    <row r="66" spans="2:57" ht="14.25" x14ac:dyDescent="0.2">
      <c r="B66" s="19"/>
      <c r="C66" s="21"/>
      <c r="D66" s="101"/>
      <c r="E66" s="25" t="str">
        <f>IF(F$11&gt;$AB$4,"",$BD$2)</f>
        <v>│</v>
      </c>
      <c r="F66" s="21"/>
      <c r="G66" s="94" t="str">
        <f>IF(H$11&gt;$AB$4,"",Stock!$G$1)</f>
        <v>│</v>
      </c>
      <c r="H66" s="21"/>
      <c r="I66" s="91" t="str">
        <f>IF(J$11&gt;$AB$4,"",$BD$2)</f>
        <v>│</v>
      </c>
      <c r="J66" s="21"/>
      <c r="K66" s="26" t="str">
        <f>IF(L$11&gt;$AB$4,"",Stock!$G$1)</f>
        <v>│</v>
      </c>
      <c r="L66" s="21"/>
      <c r="M66" s="91" t="str">
        <f>IF(N$11&gt;$AB$4,"",$BD$2)</f>
        <v>│</v>
      </c>
      <c r="N66" s="21"/>
      <c r="O66" s="92" t="str">
        <f>IF(P$11&gt;$AB$4,"",Stock!$G$1)</f>
        <v>│</v>
      </c>
      <c r="P66" s="21"/>
      <c r="Q66" s="91" t="str">
        <f>IF(R$11&gt;$AB$4,"",$BD$2)</f>
        <v>│</v>
      </c>
      <c r="R66" s="21"/>
      <c r="S66" s="92" t="str">
        <f>IF(T$11&gt;$AB$4,"",Stock!$G$1)</f>
        <v>│</v>
      </c>
      <c r="T66" s="21"/>
      <c r="U66" s="91" t="str">
        <f>IF(V$11&gt;$AB$4,"",$BD$2)</f>
        <v>│</v>
      </c>
      <c r="V66" s="21"/>
      <c r="W66" s="92" t="str">
        <f>IF(X$11&gt;$AB$4,"",Stock!$G$1)</f>
        <v>│</v>
      </c>
      <c r="X66" s="21"/>
      <c r="Y66" s="91" t="str">
        <f>IF(Z$11&gt;$AB$4,"",$BD$2)</f>
        <v>│</v>
      </c>
      <c r="Z66" s="21"/>
      <c r="AA66" s="94" t="str">
        <f>IF(AB$11&gt;$AB$4,"",Stock!$G$1)</f>
        <v>│</v>
      </c>
      <c r="AB66" s="21"/>
      <c r="AC66" s="91" t="str">
        <f>IF(AD$11&gt;$AB$4,"",$BD$2)</f>
        <v>│</v>
      </c>
      <c r="AD66" s="21"/>
      <c r="AE66" s="92" t="str">
        <f>IF(AF$11&gt;$AB$4,"",Stock!$G$1)</f>
        <v>│</v>
      </c>
      <c r="AF66" s="21"/>
      <c r="AG66" s="91" t="str">
        <f>IF(AH$11&gt;$AB$4,"",$BD$2)</f>
        <v>│</v>
      </c>
      <c r="AH66" s="21"/>
      <c r="AI66" s="92" t="str">
        <f>IF(AJ$11&gt;$AB$4,"",Stock!$G$1)</f>
        <v>│</v>
      </c>
      <c r="AJ66" s="21"/>
      <c r="AK66" s="81" t="str">
        <f>IF(AL$11&gt;$AB$4,"",$BD$2)</f>
        <v>│</v>
      </c>
      <c r="AL66" s="21"/>
      <c r="AM66" s="87" t="str">
        <f>IF(AN$11&gt;$AB$4,"",Stock!$G$1)</f>
        <v>│</v>
      </c>
      <c r="AN66" s="21"/>
      <c r="AO66" s="81" t="str">
        <f>IF(AP$11&gt;$AB$4,"",$BD$2)</f>
        <v>│</v>
      </c>
      <c r="AP66" s="21"/>
      <c r="AQ66" s="26" t="str">
        <f>IF(AR$11&gt;$AB$4,"",Stock!$G$1)</f>
        <v>│</v>
      </c>
      <c r="AR66" s="21"/>
      <c r="AS66" s="81" t="str">
        <f>IF(AT$11&gt;$AB$4,"",$BD$2)</f>
        <v>│</v>
      </c>
      <c r="AT66" s="21"/>
      <c r="AU66" s="26" t="str">
        <f>IF(AV$11&gt;$AB$4,"",Stock!$G$1)</f>
        <v>│</v>
      </c>
      <c r="AV66" s="21"/>
      <c r="AW66" s="84" t="str">
        <f>IF(AX$11&gt;$AB$4,"",$BD$2)</f>
        <v>│</v>
      </c>
      <c r="AX66" s="21"/>
      <c r="AY66" s="26" t="str">
        <f>IF(AZ$11&gt;$AB$4,"",Stock!$G$1)</f>
        <v>│</v>
      </c>
      <c r="AZ66" s="21"/>
      <c r="BA66" s="81" t="str">
        <f>IF(BB$11&gt;$AB$4,"",$BD$2)</f>
        <v>│</v>
      </c>
      <c r="BB66" s="21"/>
      <c r="BC66" s="26" t="str">
        <f>IF(BD$11&gt;$AB$4,"",Stock!$G$1)</f>
        <v>│</v>
      </c>
      <c r="BD66" s="22"/>
      <c r="BE66" s="71"/>
    </row>
    <row r="67" spans="2:57" x14ac:dyDescent="0.2">
      <c r="B67" s="19"/>
      <c r="C67" s="21"/>
      <c r="D67" s="99">
        <f>IF(D$11=$AB$4,MAX(Stock!C66-Stock!$W$2,0),IF(D$11&lt;$AB$4,($AJ$4*(F65-F69)+F69)/$AH$4,""))</f>
        <v>38.411698772766421</v>
      </c>
      <c r="E67" s="69">
        <v>1</v>
      </c>
      <c r="F67" s="21"/>
      <c r="G67" s="82"/>
      <c r="H67" s="21">
        <f>IF(H$11=$AB$4,MAX(Stock!G66-Stock!$W$2,0),IF(H$11&lt;$AB$4,($AJ$4*(J65-J69)+J69)/$AH$4,""))</f>
        <v>36.771191481501724</v>
      </c>
      <c r="I67" s="82">
        <f>IF(H$11&lt;$AB$4,62,"")</f>
        <v>62</v>
      </c>
      <c r="J67" s="21"/>
      <c r="K67" s="68"/>
      <c r="L67" s="21">
        <f>IF(L$11=$AB$4,MAX(Stock!K66-Stock!$W$2,0),IF(L$11&lt;$AB$4,($AJ$4*(N65-N69)+N69)/$AH$4,""))</f>
        <v>35.067764032324426</v>
      </c>
      <c r="M67" s="82">
        <f>IF(L$11&lt;$AB$4,123,"")</f>
        <v>123</v>
      </c>
      <c r="N67" s="21"/>
      <c r="O67" s="90"/>
      <c r="P67" s="21">
        <f>IF(P$11=$AB$4,MAX(Stock!O66-$AD$4,0),IF(P$11&lt;$AB$4,($AJ$4*(R65-R69)+R69)/$AH$4,""))</f>
        <v>33.292594296957702</v>
      </c>
      <c r="Q67" s="82">
        <f>IF(P$11&lt;$AB$4,184,"")</f>
        <v>184</v>
      </c>
      <c r="R67" s="21"/>
      <c r="S67" s="90"/>
      <c r="T67" s="21">
        <f>IF(T$11=$AB$4,MAX(Stock!S66-$AD$4,0),IF(T$11&lt;$AB$4,($AJ$4*(V65-V69)+V69)/$AH$4,""))</f>
        <v>31.434545550309977</v>
      </c>
      <c r="U67" s="82">
        <f>IF(T$11&lt;$AB$4,245,"")</f>
        <v>245</v>
      </c>
      <c r="V67" s="21"/>
      <c r="W67" s="90"/>
      <c r="X67" s="21">
        <f>IF(X$11=$AB$4,MAX(Stock!W66-$AD$4,0),IF(X$11&lt;$AB$4,($AJ$4*(Z65-Z69)+Z69)/$AH$4,""))</f>
        <v>29.479214579379981</v>
      </c>
      <c r="Y67" s="82">
        <f>IF(X$11&lt;$AB$4,306,"")</f>
        <v>306</v>
      </c>
      <c r="Z67" s="21"/>
      <c r="AA67" s="82"/>
      <c r="AB67" s="21">
        <f>IF(AB$11=$AB$4,MAX(Stock!AA66-$AD$4,0),IF(AB$11&lt;$AB$4,($AJ$4*(AD65-AD69)+AD69)/$AH$4,""))</f>
        <v>27.407409047105592</v>
      </c>
      <c r="AC67" s="82">
        <f>IF(AB$11&lt;$AB$4,367,"")</f>
        <v>367</v>
      </c>
      <c r="AD67" s="21"/>
      <c r="AE67" s="90"/>
      <c r="AF67" s="21">
        <f>IF(AF$11=$AB$4,MAX(Stock!AE66-$AD$4,0),IF(AF$11&lt;$AB$4,($AJ$4*(AH65-AH69)+AH69)/$AH$4,""))</f>
        <v>25.192571382145999</v>
      </c>
      <c r="AG67" s="90">
        <v>428</v>
      </c>
      <c r="AH67" s="21"/>
      <c r="AI67" s="90"/>
      <c r="AJ67" s="21">
        <f>IF(AJ$11=$AB$4,MAX(Stock!AI66-$AD$4,0),IF(AJ$11&lt;$AB$4,($AJ$4*(AL65-AL69)+AL69)/$AH$4,""))</f>
        <v>22.796096138456349</v>
      </c>
      <c r="AK67" s="82">
        <f>IF(AJ$11&lt;$AB$4,489,"")</f>
        <v>489</v>
      </c>
      <c r="AL67" s="21"/>
      <c r="AM67" s="88"/>
      <c r="AN67" s="21">
        <f>IF(AN$11=$AB$4,MAX(Stock!AM66-$AD$4,0),IF(AN$11&lt;$AB$4,($AJ$4*(AP65-AP69)+AP69)/$AH$4,""))</f>
        <v>20.157967104679226</v>
      </c>
      <c r="AO67" s="82">
        <f>IF(AN$11&lt;$AB$4,550,"")</f>
        <v>550</v>
      </c>
      <c r="AP67" s="21"/>
      <c r="AQ67" s="68"/>
      <c r="AR67" s="21">
        <f>IF(AR$11=$AB$4,MAX(Stock!AQ66-$AD$4,0),IF(AR$11&lt;$AB$4,($AJ$4*(AT65-AT69)+AT69)/$AH$4,""))</f>
        <v>17.175361869205105</v>
      </c>
      <c r="AS67" s="82">
        <f>IF(AR$11&lt;$AB$4,611,"")</f>
        <v>611</v>
      </c>
      <c r="AT67" s="21"/>
      <c r="AU67" s="68"/>
      <c r="AV67" s="21">
        <f>IF(AV$11=$AB$4,MAX(Stock!AU66-$AD$4,0),IF(AV$11&lt;$AB$4,($AJ$4*(AX65-AX69)+AX69)/$AH$4,""))</f>
        <v>13.642759868962866</v>
      </c>
      <c r="AW67" s="82">
        <f>IF(AV$11&lt;$AB$4,672,"")</f>
        <v>672</v>
      </c>
      <c r="AX67" s="21"/>
      <c r="AY67" s="68"/>
      <c r="AZ67" s="21">
        <f>IF(AZ$11=$AB$4,MAX(Stock!AY66-$AD$4,0),IF(AZ$11&lt;$AB$4,($AJ$4*(BB65-BB69)+BB69)/$AH$4,""))</f>
        <v>9.0124355894713677</v>
      </c>
      <c r="BA67" s="82">
        <f>IF(AZ$11&lt;$AB$4,733,"")</f>
        <v>733</v>
      </c>
      <c r="BB67" s="21"/>
      <c r="BC67" s="68"/>
      <c r="BD67" s="22">
        <f>IF(BD$11=$AB$4,MAX(Stock!BC66-$AD$4,0),IF(BD$11&lt;$AB$4,($AJ$4*(BE65-BE69)+BE69)/$AH$4,""))</f>
        <v>0</v>
      </c>
      <c r="BE67" s="71"/>
    </row>
    <row r="68" spans="2:57" ht="14.25" x14ac:dyDescent="0.2">
      <c r="B68" s="19"/>
      <c r="C68" s="21"/>
      <c r="D68" s="99"/>
      <c r="E68" s="102" t="str">
        <f>IF(F$11&gt;$AB$4,"",Stock!$G$1)</f>
        <v>│</v>
      </c>
      <c r="F68" s="21"/>
      <c r="G68" s="95" t="str">
        <f>IF(H$11&gt;$AB$4,"",$BD$2)</f>
        <v>│</v>
      </c>
      <c r="H68" s="21"/>
      <c r="I68" s="92" t="str">
        <f>IF(J$11&gt;$AB$4,"",Stock!$G$1)</f>
        <v>│</v>
      </c>
      <c r="J68" s="21"/>
      <c r="K68" s="81" t="str">
        <f>IF(L$11&gt;$AB$4,"",$BD$2)</f>
        <v>│</v>
      </c>
      <c r="L68" s="21"/>
      <c r="M68" s="92" t="str">
        <f>IF(N$11&gt;$AB$4,"",Stock!$G$1)</f>
        <v>│</v>
      </c>
      <c r="N68" s="21"/>
      <c r="O68" s="91" t="str">
        <f>IF(P$11&gt;$AB$4,"",$BD$2)</f>
        <v>│</v>
      </c>
      <c r="P68" s="21"/>
      <c r="Q68" s="92" t="str">
        <f>IF(R$11&gt;$AB$4,"",Stock!$G$1)</f>
        <v>│</v>
      </c>
      <c r="R68" s="21"/>
      <c r="S68" s="91" t="str">
        <f>IF(T$11&gt;$AB$4,"",$BD$2)</f>
        <v>│</v>
      </c>
      <c r="T68" s="21"/>
      <c r="U68" s="92" t="str">
        <f>IF(V$11&gt;$AB$4,"",Stock!$G$1)</f>
        <v>│</v>
      </c>
      <c r="V68" s="21"/>
      <c r="W68" s="91" t="str">
        <f>IF(X$11&gt;$AB$4,"",$BD$2)</f>
        <v>│</v>
      </c>
      <c r="X68" s="21"/>
      <c r="Y68" s="92" t="str">
        <f>IF(Z$11&gt;$AB$4,"",Stock!$G$1)</f>
        <v>│</v>
      </c>
      <c r="Z68" s="21"/>
      <c r="AA68" s="95" t="str">
        <f>IF(AB$11&gt;$AB$4,"",$BD$2)</f>
        <v>│</v>
      </c>
      <c r="AB68" s="21"/>
      <c r="AC68" s="92" t="str">
        <f>IF(AD$11&gt;$AB$4,"",Stock!$G$1)</f>
        <v>│</v>
      </c>
      <c r="AD68" s="21"/>
      <c r="AE68" s="91" t="str">
        <f>IF(AF$11&gt;$AB$4,"",$BD$2)</f>
        <v>│</v>
      </c>
      <c r="AF68" s="21"/>
      <c r="AG68" s="92" t="str">
        <f>IF(AH$11&gt;$AB$4,"",Stock!$G$1)</f>
        <v>│</v>
      </c>
      <c r="AH68" s="21"/>
      <c r="AI68" s="91" t="str">
        <f>IF(AJ$11&gt;$AB$4,"",$BD$2)</f>
        <v>│</v>
      </c>
      <c r="AJ68" s="21"/>
      <c r="AK68" s="26" t="str">
        <f>IF(AL$11&gt;$AB$4,"",Stock!$G$1)</f>
        <v>│</v>
      </c>
      <c r="AL68" s="21"/>
      <c r="AM68" s="89" t="str">
        <f>IF(AN$11&gt;$AB$4,"",$BD$2)</f>
        <v>│</v>
      </c>
      <c r="AN68" s="21"/>
      <c r="AO68" s="26" t="str">
        <f>IF(AP$11&gt;$AB$4,"",Stock!$G$1)</f>
        <v>│</v>
      </c>
      <c r="AP68" s="21"/>
      <c r="AQ68" s="81" t="str">
        <f>IF(AR$11&gt;$AB$4,"",$BD$2)</f>
        <v>│</v>
      </c>
      <c r="AR68" s="21"/>
      <c r="AS68" s="26" t="str">
        <f>IF(AT$11&gt;$AB$4,"",Stock!$G$1)</f>
        <v>│</v>
      </c>
      <c r="AT68" s="21"/>
      <c r="AU68" s="81" t="str">
        <f>IF(AV$11&gt;$AB$4,"",$BD$2)</f>
        <v>│</v>
      </c>
      <c r="AV68" s="21"/>
      <c r="AW68" s="85" t="str">
        <f>IF(AX$11&gt;$AB$4,"",Stock!$G$1)</f>
        <v>│</v>
      </c>
      <c r="AX68" s="21"/>
      <c r="AY68" s="81" t="str">
        <f>IF(AZ$11&gt;$AB$4,"",$BD$2)</f>
        <v>│</v>
      </c>
      <c r="AZ68" s="21"/>
      <c r="BA68" s="26" t="str">
        <f>IF(BB$11&gt;$AB$4,"",Stock!$G$1)</f>
        <v>│</v>
      </c>
      <c r="BB68" s="21"/>
      <c r="BC68" s="81" t="str">
        <f>IF(BD$11&gt;$AB$4,"",$BD$2)</f>
        <v>│</v>
      </c>
      <c r="BD68" s="22"/>
      <c r="BE68" s="71"/>
    </row>
    <row r="69" spans="2:57" x14ac:dyDescent="0.2">
      <c r="B69" s="19"/>
      <c r="C69" s="21"/>
      <c r="D69" s="21"/>
      <c r="E69" s="21"/>
      <c r="F69" s="21">
        <f>IF(F$11=$AB$4,MAX(Stock!E68-$AD$4,0),IF(F$11&lt;$AB$4,($AJ$4*(H67-H71)+H71)/$AH$4,""))</f>
        <v>28.451324300825149</v>
      </c>
      <c r="G69" s="82">
        <f>IF(F$11&lt;AB$4,32,"")</f>
        <v>32</v>
      </c>
      <c r="H69" s="21"/>
      <c r="I69" s="90"/>
      <c r="J69" s="21">
        <f>IF(J$11=$AB$4,MAX(Stock!I68-$AD$4,0),IF(J$11&lt;$AB$4,($AJ$4*(L67-L71)+L71)/$AH$4,""))</f>
        <v>26.860731067285702</v>
      </c>
      <c r="K69" s="82">
        <f>IF(J$11&lt;$AB$4,93,"")</f>
        <v>93</v>
      </c>
      <c r="L69" s="21"/>
      <c r="M69" s="90"/>
      <c r="N69" s="21">
        <f>IF(N$11=$AB$4,MAX(Stock!M68-$AD$4,0),IF(N$11&lt;$AB$4,($AJ$4*(P67-P71)+P71)/$AH$4,""))</f>
        <v>25.209466312770676</v>
      </c>
      <c r="O69" s="82">
        <f>IF(N$11&lt;$AB$4,154,"")</f>
        <v>154</v>
      </c>
      <c r="P69" s="21"/>
      <c r="Q69" s="90"/>
      <c r="R69" s="21">
        <f>IF(R$11=$AB$4,MAX(Stock!Q68-$AD$4,0),IF(R$11&lt;$AB$4,($AJ$4*(T67-T71)+T71)/$AH$4,""))</f>
        <v>23.489025886322384</v>
      </c>
      <c r="S69" s="82">
        <f>IF(R$11&lt;$AB$4,215,"")</f>
        <v>215</v>
      </c>
      <c r="T69" s="21"/>
      <c r="U69" s="90"/>
      <c r="V69" s="21">
        <f>IF(V$11=$AB$4,MAX(Stock!U68-$AD$4,0),IF(V$11&lt;$AB$4,($AJ$4*(X67-X71)+X71)/$AH$4,""))</f>
        <v>21.688674529492211</v>
      </c>
      <c r="W69" s="82">
        <f>IF(V$11&lt;$AB$4,276,"")</f>
        <v>276</v>
      </c>
      <c r="X69" s="21"/>
      <c r="Y69" s="90"/>
      <c r="Z69" s="21">
        <f>IF(Z$11=$AB$4,MAX(Stock!Y68-$AD$4,0),IF(Z$11&lt;$AB$4,($AJ$4*(AB67-AB71)+AB71)/$AH$4,""))</f>
        <v>19.79452833074302</v>
      </c>
      <c r="AA69" s="82">
        <f>IF(Z$11&lt;$AB$4,337,"")</f>
        <v>337</v>
      </c>
      <c r="AB69" s="21"/>
      <c r="AC69" s="90"/>
      <c r="AD69" s="21">
        <f>IF(AD$11=$AB$4,MAX(Stock!AC68-$AD$4,0),IF(AD$11&lt;$AB$4,($AJ$4*(AF67-AF71)+AF71)/$AH$4,""))</f>
        <v>17.788087031341856</v>
      </c>
      <c r="AE69" s="82">
        <f>IF(AD$11&lt;$AB$4,398,"")</f>
        <v>398</v>
      </c>
      <c r="AF69" s="21"/>
      <c r="AG69" s="90"/>
      <c r="AH69" s="21">
        <f>IF(AH$11=$AB$4,MAX(Stock!AG68-$AD$4,0),IF(AH$11&lt;$AB$4,($AJ$4*(AJ67-AJ71)+AJ71)/$AH$4,""))</f>
        <v>15.643750875804916</v>
      </c>
      <c r="AI69" s="90">
        <v>459</v>
      </c>
      <c r="AJ69" s="21"/>
      <c r="AK69" s="68"/>
      <c r="AL69" s="21">
        <f>IF(AL$11=$AB$4,MAX(Stock!AK68-$AD$4,0),IF(AL$11&lt;$AB$4,($AJ$4*(AN67-AN71)+AN71)/$AH$4,""))</f>
        <v>13.324306957831002</v>
      </c>
      <c r="AM69" s="82">
        <f>IF(AL$11&lt;$AB$4,520,"")</f>
        <v>520</v>
      </c>
      <c r="AN69" s="21"/>
      <c r="AO69" s="81"/>
      <c r="AP69" s="21">
        <f>IF(AP$11=$AB$4,MAX(Stock!AO68-$AD$4,0),IF(AP$11&lt;$AB$4,($AJ$4*(AR67-AR71)+AR71)/$AH$4,""))</f>
        <v>10.771904236408872</v>
      </c>
      <c r="AQ69" s="82">
        <f>IF(AP$11&lt;$AB$4,581,"")</f>
        <v>581</v>
      </c>
      <c r="AR69" s="21"/>
      <c r="AS69" s="68"/>
      <c r="AT69" s="21">
        <f>IF(AT$11=$AB$4,MAX(Stock!AS68-$AD$4,0),IF(AT$11&lt;$AB$4,($AJ$4*(AV67-AV71)+AV71)/$AH$4,""))</f>
        <v>7.887430308348315</v>
      </c>
      <c r="AU69" s="82">
        <f>IF(AT$11&lt;$AB$4,642,"")</f>
        <v>642</v>
      </c>
      <c r="AV69" s="21"/>
      <c r="AW69" s="83"/>
      <c r="AX69" s="21">
        <f>IF(AX$11=$AB$4,MAX(Stock!AW68-$AD$4,0),IF(AX$11&lt;$AB$4,($AJ$4*(AZ67-AZ71)+AZ71)/$AH$4,""))</f>
        <v>4.4727812162726019</v>
      </c>
      <c r="AY69" s="82">
        <f>IF(AX$11&lt;$AB$4,703,"")</f>
        <v>703</v>
      </c>
      <c r="AZ69" s="21"/>
      <c r="BA69" s="68"/>
      <c r="BB69" s="21">
        <f>IF(BB$11=$AB$4,MAX(Stock!BA68-$AD$4,0),IF(BB$11&lt;$AB$4,($AJ$4*(BD67-BD71)+BD71)/$AH$4,""))</f>
        <v>0</v>
      </c>
      <c r="BC69" s="82">
        <f>IF(BB$11&lt;$AB$4,764,"")</f>
        <v>764</v>
      </c>
      <c r="BD69" s="22"/>
      <c r="BE69" s="71"/>
    </row>
    <row r="70" spans="2:57" ht="13.5" x14ac:dyDescent="0.2">
      <c r="B70" s="19"/>
      <c r="C70" s="21"/>
      <c r="D70" s="21"/>
      <c r="E70" s="21"/>
      <c r="F70" s="21"/>
      <c r="G70" s="103" t="str">
        <f>IF(H$11&gt;$AB$4,"",Stock!$G$1)</f>
        <v>│</v>
      </c>
      <c r="H70" s="21"/>
      <c r="I70" s="91" t="str">
        <f>IF(J$11&gt;$AB$4,"",$BD$2)</f>
        <v>│</v>
      </c>
      <c r="J70" s="21"/>
      <c r="K70" s="26" t="str">
        <f>IF(L$11&gt;$AB$4,"",Stock!$G$1)</f>
        <v>│</v>
      </c>
      <c r="L70" s="21"/>
      <c r="M70" s="91" t="str">
        <f>IF(N$11&gt;$AB$4,"",$BD$2)</f>
        <v>│</v>
      </c>
      <c r="N70" s="21"/>
      <c r="O70" s="92" t="str">
        <f>IF(P$11&gt;$AB$4,"",Stock!$G$1)</f>
        <v>│</v>
      </c>
      <c r="P70" s="21"/>
      <c r="Q70" s="91" t="str">
        <f>IF(R$11&gt;$AB$4,"",$BD$2)</f>
        <v>│</v>
      </c>
      <c r="R70" s="21"/>
      <c r="S70" s="92" t="str">
        <f>IF(T$11&gt;$AB$4,"",Stock!$G$1)</f>
        <v>│</v>
      </c>
      <c r="T70" s="21"/>
      <c r="U70" s="91" t="str">
        <f>IF(V$11&gt;$AB$4,"",$BD$2)</f>
        <v>│</v>
      </c>
      <c r="V70" s="21"/>
      <c r="W70" s="92" t="str">
        <f>IF(X$11&gt;$AB$4,"",Stock!$G$1)</f>
        <v>│</v>
      </c>
      <c r="X70" s="21"/>
      <c r="Y70" s="91" t="str">
        <f>IF(Z$11&gt;$AB$4,"",$BD$2)</f>
        <v>│</v>
      </c>
      <c r="Z70" s="21"/>
      <c r="AA70" s="94" t="str">
        <f>IF(AB$11&gt;$AB$4,"",Stock!$G$1)</f>
        <v>│</v>
      </c>
      <c r="AB70" s="21"/>
      <c r="AC70" s="91" t="str">
        <f>IF(AD$11&gt;$AB$4,"",$BD$2)</f>
        <v>│</v>
      </c>
      <c r="AD70" s="21"/>
      <c r="AE70" s="92" t="str">
        <f>IF(AF$11&gt;$AB$4,"",Stock!$G$1)</f>
        <v>│</v>
      </c>
      <c r="AF70" s="21"/>
      <c r="AG70" s="91" t="str">
        <f>IF(AH$11&gt;$AB$4,"",$BD$2)</f>
        <v>│</v>
      </c>
      <c r="AH70" s="21"/>
      <c r="AI70" s="92" t="str">
        <f>IF(AJ$11&gt;$AB$4,"",Stock!$G$1)</f>
        <v>│</v>
      </c>
      <c r="AJ70" s="21"/>
      <c r="AK70" s="81" t="str">
        <f>IF(AL$11&gt;$AB$4,"",$BD$2)</f>
        <v>│</v>
      </c>
      <c r="AL70" s="21"/>
      <c r="AM70" s="87" t="str">
        <f>IF(AN$11&gt;$AB$4,"",Stock!$G$1)</f>
        <v>│</v>
      </c>
      <c r="AN70" s="21"/>
      <c r="AO70" s="81" t="str">
        <f>IF(AP$11&gt;$AB$4,"",$BD$2)</f>
        <v>│</v>
      </c>
      <c r="AP70" s="21"/>
      <c r="AQ70" s="26" t="str">
        <f>IF(AR$11&gt;$AB$4,"",Stock!$G$1)</f>
        <v>│</v>
      </c>
      <c r="AR70" s="21"/>
      <c r="AS70" s="81" t="str">
        <f>IF(AT$11&gt;$AB$4,"",$BD$2)</f>
        <v>│</v>
      </c>
      <c r="AT70" s="21"/>
      <c r="AU70" s="26" t="str">
        <f>IF(AV$11&gt;$AB$4,"",Stock!$G$1)</f>
        <v>│</v>
      </c>
      <c r="AV70" s="21"/>
      <c r="AW70" s="84" t="str">
        <f>IF(AX$11&gt;$AB$4,"",$BD$2)</f>
        <v>│</v>
      </c>
      <c r="AX70" s="21"/>
      <c r="AY70" s="26" t="str">
        <f>IF(AZ$11&gt;$AB$4,"",Stock!$G$1)</f>
        <v>│</v>
      </c>
      <c r="AZ70" s="21"/>
      <c r="BA70" s="81" t="str">
        <f>IF(BB$11&gt;$AB$4,"",$BD$2)</f>
        <v>│</v>
      </c>
      <c r="BB70" s="21"/>
      <c r="BC70" s="26" t="str">
        <f>IF(BD$11&gt;$AB$4,"",Stock!$G$1)</f>
        <v>│</v>
      </c>
      <c r="BD70" s="22"/>
      <c r="BE70" s="71"/>
    </row>
    <row r="71" spans="2:57" x14ac:dyDescent="0.2">
      <c r="B71" s="19"/>
      <c r="C71" s="21"/>
      <c r="D71" s="21"/>
      <c r="E71" s="21"/>
      <c r="F71" s="21"/>
      <c r="G71" s="21"/>
      <c r="H71" s="21">
        <f>IF(H$11=$AB$4,MAX(Stock!G70-Stock!$W$2,0),IF(H$11&lt;$AB$4,($AJ$4*(J69-J73)+J73)/$AH$4,""))</f>
        <v>20.280643694064878</v>
      </c>
      <c r="I71" s="82">
        <f>IF(H$11&lt;$AB$4,63,"")</f>
        <v>63</v>
      </c>
      <c r="J71" s="21"/>
      <c r="K71" s="68"/>
      <c r="L71" s="21">
        <f>IF(L$11=$AB$4,MAX(Stock!K70-Stock!$W$2,0),IF(L$11&lt;$AB$4,($AJ$4*(N69-N73)+N73)/$AH$4,""))</f>
        <v>18.799277564943758</v>
      </c>
      <c r="M71" s="82">
        <f>IF(L$11&lt;$AB$4,124,"")</f>
        <v>124</v>
      </c>
      <c r="N71" s="21"/>
      <c r="O71" s="90"/>
      <c r="P71" s="21">
        <f>IF(P$11=$AB$4,MAX(Stock!O70-$AD$4,0),IF(P$11&lt;$AB$4,($AJ$4*(R69-R73)+R73)/$AH$4,""))</f>
        <v>17.268082174389498</v>
      </c>
      <c r="Q71" s="82">
        <f>IF(P$11&lt;$AB$4,185,"")</f>
        <v>185</v>
      </c>
      <c r="R71" s="21"/>
      <c r="S71" s="90"/>
      <c r="T71" s="21">
        <f>IF(T$11=$AB$4,MAX(Stock!S70-$AD$4,0),IF(T$11&lt;$AB$4,($AJ$4*(V69-V73)+V73)/$AH$4,""))</f>
        <v>15.68113939519692</v>
      </c>
      <c r="U71" s="82">
        <f>IF(T$11&lt;$AB$4,246,"")</f>
        <v>246</v>
      </c>
      <c r="V71" s="21"/>
      <c r="W71" s="90"/>
      <c r="X71" s="21">
        <f>IF(X$11=$AB$4,MAX(Stock!W70-$AD$4,0),IF(X$11&lt;$AB$4,($AJ$4*(Z69-Z73)+Z73)/$AH$4,""))</f>
        <v>14.031318528964146</v>
      </c>
      <c r="Y71" s="82">
        <f>IF(X$11&lt;$AB$4,307,"")</f>
        <v>307</v>
      </c>
      <c r="Z71" s="21"/>
      <c r="AA71" s="82"/>
      <c r="AB71" s="21">
        <f>IF(AB$11=$AB$4,MAX(Stock!AA70-$AD$4,0),IF(AB$11&lt;$AB$4,($AJ$4*(AD69-AD73)+AD73)/$AH$4,""))</f>
        <v>12.309954515028858</v>
      </c>
      <c r="AC71" s="82">
        <f>IF(AB$11&lt;$AB$4,368,"")</f>
        <v>368</v>
      </c>
      <c r="AD71" s="21"/>
      <c r="AE71" s="90"/>
      <c r="AF71" s="21">
        <f>IF(AF$11=$AB$4,MAX(Stock!AE70-$AD$4,0),IF(AF$11&lt;$AB$4,($AJ$4*(AH69-AH73)+AH73)/$AH$4,""))</f>
        <v>10.506471830712982</v>
      </c>
      <c r="AG71" s="90">
        <v>429</v>
      </c>
      <c r="AH71" s="21"/>
      <c r="AI71" s="90"/>
      <c r="AJ71" s="21">
        <f>IF(AJ$11=$AB$4,MAX(Stock!AI70-$AD$4,0),IF(AJ$11&lt;$AB$4,($AJ$4*(AL69-AL73)+AL73)/$AH$4,""))</f>
        <v>8.6080680166601162</v>
      </c>
      <c r="AK71" s="82">
        <f>IF(AJ$11&lt;$AB$4,490,"")</f>
        <v>490</v>
      </c>
      <c r="AL71" s="21"/>
      <c r="AM71" s="88"/>
      <c r="AN71" s="21">
        <f>IF(AN$11=$AB$4,MAX(Stock!AM70-$AD$4,0),IF(AN$11&lt;$AB$4,($AJ$4*(AP69-AP73)+AP73)/$AH$4,""))</f>
        <v>6.5999781730034375</v>
      </c>
      <c r="AO71" s="82">
        <f>IF(AN$11&lt;$AB$4,551,"")</f>
        <v>551</v>
      </c>
      <c r="AP71" s="21"/>
      <c r="AQ71" s="68"/>
      <c r="AR71" s="21">
        <f>IF(AR$11=$AB$4,MAX(Stock!AQ70-$AD$4,0),IF(AR$11&lt;$AB$4,($AJ$4*(AT69-AT73)+AT73)/$AH$4,""))</f>
        <v>4.4686423573867824</v>
      </c>
      <c r="AS71" s="82">
        <f>IF(AR$11&lt;$AB$4,612,"")</f>
        <v>612</v>
      </c>
      <c r="AT71" s="21"/>
      <c r="AU71" s="68"/>
      <c r="AV71" s="21">
        <f>IF(AV$11=$AB$4,MAX(Stock!AU70-$AD$4,0),IF(AV$11&lt;$AB$4,($AJ$4*(AX69-AX73)+AX73)/$AH$4,""))</f>
        <v>2.2197963702522805</v>
      </c>
      <c r="AW71" s="82">
        <f>IF(AV$11&lt;$AB$4,673,"")</f>
        <v>673</v>
      </c>
      <c r="AX71" s="21"/>
      <c r="AY71" s="68"/>
      <c r="AZ71" s="21">
        <f>IF(AZ$11=$AB$4,MAX(Stock!AY70-$AD$4,0),IF(AZ$11&lt;$AB$4,($AJ$4*(BB69-BB73)+BB73)/$AH$4,""))</f>
        <v>0</v>
      </c>
      <c r="BA71" s="82">
        <f>IF(AZ$11&lt;$AB$4,734,"")</f>
        <v>734</v>
      </c>
      <c r="BB71" s="21"/>
      <c r="BC71" s="68"/>
      <c r="BD71" s="22">
        <f>IF(BD$11=$AB$4,MAX(Stock!BC70-$AD$4,0),IF(BD$11&lt;$AB$4,($AJ$4*(BE69-BE73)+BE73)/$AH$4,""))</f>
        <v>0</v>
      </c>
      <c r="BE71" s="71"/>
    </row>
    <row r="72" spans="2:57" ht="13.5" x14ac:dyDescent="0.2">
      <c r="B72" s="19"/>
      <c r="C72" s="21"/>
      <c r="D72" s="21"/>
      <c r="E72" s="21"/>
      <c r="F72" s="21"/>
      <c r="G72" s="21"/>
      <c r="H72" s="21"/>
      <c r="I72" s="26" t="str">
        <f>IF(J$11&gt;$AB$4,"",Stock!$G$1)</f>
        <v>│</v>
      </c>
      <c r="J72" s="21"/>
      <c r="K72" s="81" t="str">
        <f>IF(L$11&gt;$AB$4,"",$BD$2)</f>
        <v>│</v>
      </c>
      <c r="L72" s="21"/>
      <c r="M72" s="92" t="str">
        <f>IF(N$11&gt;$AB$4,"",Stock!$G$1)</f>
        <v>│</v>
      </c>
      <c r="N72" s="21"/>
      <c r="O72" s="91" t="str">
        <f>IF(P$11&gt;$AB$4,"",$BD$2)</f>
        <v>│</v>
      </c>
      <c r="P72" s="21"/>
      <c r="Q72" s="92" t="str">
        <f>IF(R$11&gt;$AB$4,"",Stock!$G$1)</f>
        <v>│</v>
      </c>
      <c r="R72" s="21"/>
      <c r="S72" s="91" t="str">
        <f>IF(T$11&gt;$AB$4,"",$BD$2)</f>
        <v>│</v>
      </c>
      <c r="T72" s="21"/>
      <c r="U72" s="92" t="str">
        <f>IF(V$11&gt;$AB$4,"",Stock!$G$1)</f>
        <v>│</v>
      </c>
      <c r="V72" s="21"/>
      <c r="W72" s="91" t="str">
        <f>IF(X$11&gt;$AB$4,"",$BD$2)</f>
        <v>│</v>
      </c>
      <c r="X72" s="21"/>
      <c r="Y72" s="92" t="str">
        <f>IF(Z$11&gt;$AB$4,"",Stock!$G$1)</f>
        <v>│</v>
      </c>
      <c r="Z72" s="21"/>
      <c r="AA72" s="95" t="str">
        <f>IF(AB$11&gt;$AB$4,"",$BD$2)</f>
        <v>│</v>
      </c>
      <c r="AB72" s="21"/>
      <c r="AC72" s="92" t="str">
        <f>IF(AD$11&gt;$AB$4,"",Stock!$G$1)</f>
        <v>│</v>
      </c>
      <c r="AD72" s="21"/>
      <c r="AE72" s="91" t="str">
        <f>IF(AF$11&gt;$AB$4,"",$BD$2)</f>
        <v>│</v>
      </c>
      <c r="AF72" s="21"/>
      <c r="AG72" s="92" t="str">
        <f>IF(AH$11&gt;$AB$4,"",Stock!$G$1)</f>
        <v>│</v>
      </c>
      <c r="AH72" s="21"/>
      <c r="AI72" s="91" t="str">
        <f>IF(AJ$11&gt;$AB$4,"",$BD$2)</f>
        <v>│</v>
      </c>
      <c r="AJ72" s="21"/>
      <c r="AK72" s="26" t="str">
        <f>IF(AL$11&gt;$AB$4,"",Stock!$G$1)</f>
        <v>│</v>
      </c>
      <c r="AL72" s="21"/>
      <c r="AM72" s="89" t="str">
        <f>IF(AN$11&gt;$AB$4,"",$BD$2)</f>
        <v>│</v>
      </c>
      <c r="AN72" s="21"/>
      <c r="AO72" s="26" t="str">
        <f>IF(AP$11&gt;$AB$4,"",Stock!$G$1)</f>
        <v>│</v>
      </c>
      <c r="AP72" s="21"/>
      <c r="AQ72" s="81" t="str">
        <f>IF(AR$11&gt;$AB$4,"",$BD$2)</f>
        <v>│</v>
      </c>
      <c r="AR72" s="21"/>
      <c r="AS72" s="26" t="str">
        <f>IF(AT$11&gt;$AB$4,"",Stock!$G$1)</f>
        <v>│</v>
      </c>
      <c r="AT72" s="21"/>
      <c r="AU72" s="81" t="str">
        <f>IF(AV$11&gt;$AB$4,"",$BD$2)</f>
        <v>│</v>
      </c>
      <c r="AV72" s="21"/>
      <c r="AW72" s="85" t="str">
        <f>IF(AX$11&gt;$AB$4,"",Stock!$G$1)</f>
        <v>│</v>
      </c>
      <c r="AX72" s="21"/>
      <c r="AY72" s="81" t="str">
        <f>IF(AZ$11&gt;$AB$4,"",$BD$2)</f>
        <v>│</v>
      </c>
      <c r="AZ72" s="21"/>
      <c r="BA72" s="26" t="str">
        <f>IF(BB$11&gt;$AB$4,"",Stock!$G$1)</f>
        <v>│</v>
      </c>
      <c r="BB72" s="21"/>
      <c r="BC72" s="81" t="str">
        <f>IF(BD$11&gt;$AB$4,"",$BD$2)</f>
        <v>│</v>
      </c>
      <c r="BD72" s="22"/>
      <c r="BE72" s="71"/>
    </row>
    <row r="73" spans="2:57" x14ac:dyDescent="0.2">
      <c r="B73" s="19"/>
      <c r="C73" s="21"/>
      <c r="D73" s="21"/>
      <c r="E73" s="21"/>
      <c r="F73" s="21"/>
      <c r="G73" s="21"/>
      <c r="H73" s="21"/>
      <c r="I73" s="68"/>
      <c r="J73" s="21">
        <f>IF(J$11=$AB$4,MAX(Stock!I72-$AD$4,0),IF(J$11&lt;$AB$4,($AJ$4*(L71-L75)+L75)/$AH$4,""))</f>
        <v>13.81562612915021</v>
      </c>
      <c r="K73" s="82">
        <f>IF(J$11&lt;$AB$4,94,"")</f>
        <v>94</v>
      </c>
      <c r="L73" s="21"/>
      <c r="M73" s="90"/>
      <c r="N73" s="21">
        <f>IF(N$11=$AB$4,MAX(Stock!M72-$AD$4,0),IF(N$11&lt;$AB$4,($AJ$4*(P71-P75)+P75)/$AH$4,""))</f>
        <v>12.499928419244331</v>
      </c>
      <c r="O73" s="82">
        <f>IF(N$11&lt;$AB$4,155,"")</f>
        <v>155</v>
      </c>
      <c r="P73" s="21"/>
      <c r="Q73" s="90"/>
      <c r="R73" s="21">
        <f>IF(R$11=$AB$4,MAX(Stock!Q72-$AD$4,0),IF(R$11&lt;$AB$4,($AJ$4*(T71-T75)+T75)/$AH$4,""))</f>
        <v>11.153422418721075</v>
      </c>
      <c r="S73" s="82">
        <f>IF(R$11&lt;$AB$4,216,"")</f>
        <v>216</v>
      </c>
      <c r="T73" s="21"/>
      <c r="U73" s="90"/>
      <c r="V73" s="21">
        <f>IF(V$11=$AB$4,MAX(Stock!U72-$AD$4,0),IF(V$11&lt;$AB$4,($AJ$4*(X71-X75)+X75)/$AH$4,""))</f>
        <v>9.7749346302343625</v>
      </c>
      <c r="W73" s="82">
        <f>IF(V$11&lt;$AB$4,277,"")</f>
        <v>277</v>
      </c>
      <c r="X73" s="21"/>
      <c r="Y73" s="90"/>
      <c r="Z73" s="21">
        <f>IF(Z$11=$AB$4,MAX(Stock!Y72-$AD$4,0),IF(Z$11&lt;$AB$4,($AJ$4*(AB71-AB75)+AB75)/$AH$4,""))</f>
        <v>8.3639874606093478</v>
      </c>
      <c r="AA73" s="82">
        <f>IF(Z$11&lt;$AB$4,338,"")</f>
        <v>338</v>
      </c>
      <c r="AB73" s="21"/>
      <c r="AC73" s="90"/>
      <c r="AD73" s="21">
        <f>IF(AD$11=$AB$4,MAX(Stock!AC72-$AD$4,0),IF(AD$11&lt;$AB$4,($AJ$4*(AF71-AF75)+AF75)/$AH$4,""))</f>
        <v>6.9216075138985591</v>
      </c>
      <c r="AE73" s="82">
        <f>IF(AD$11&lt;$AB$4,399,"")</f>
        <v>399</v>
      </c>
      <c r="AF73" s="21"/>
      <c r="AG73" s="90"/>
      <c r="AH73" s="21">
        <f>IF(AH$11=$AB$4,MAX(Stock!AG72-$AD$4,0),IF(AH$11&lt;$AB$4,($AJ$4*(AJ71-AJ75)+AJ75)/$AH$4,""))</f>
        <v>5.4520277375400905</v>
      </c>
      <c r="AI73" s="90">
        <v>460</v>
      </c>
      <c r="AJ73" s="21"/>
      <c r="AK73" s="68"/>
      <c r="AL73" s="21">
        <f>IF(AL$11=$AB$4,MAX(Stock!AK72-$AD$4,0),IF(AL$11&lt;$AB$4,($AJ$4*(AN71-AN75)+AN75)/$AH$4,""))</f>
        <v>3.9665113194971036</v>
      </c>
      <c r="AM73" s="82">
        <f>IF(AL$11&lt;$AB$4,521,"")</f>
        <v>521</v>
      </c>
      <c r="AN73" s="21"/>
      <c r="AO73" s="81"/>
      <c r="AP73" s="21">
        <f>IF(AP$11=$AB$4,MAX(Stock!AO72-$AD$4,0),IF(AP$11&lt;$AB$4,($AJ$4*(AR71-AR75)+AR75)/$AH$4,""))</f>
        <v>2.492781202661309</v>
      </c>
      <c r="AQ73" s="82">
        <f>IF(AP$11&lt;$AB$4,582,"")</f>
        <v>582</v>
      </c>
      <c r="AR73" s="21"/>
      <c r="AS73" s="68"/>
      <c r="AT73" s="21">
        <f>IF(AT$11=$AB$4,MAX(Stock!AS72-$AD$4,0),IF(AT$11&lt;$AB$4,($AJ$4*(AV71-AV75)+AV75)/$AH$4,""))</f>
        <v>1.1016626316213012</v>
      </c>
      <c r="AU73" s="82">
        <f>IF(AT$11&lt;$AB$4,643,"")</f>
        <v>643</v>
      </c>
      <c r="AV73" s="21"/>
      <c r="AW73" s="83"/>
      <c r="AX73" s="21">
        <f>IF(AX$11=$AB$4,MAX(Stock!AW72-$AD$4,0),IF(AX$11&lt;$AB$4,($AJ$4*(AZ71-AZ75)+AZ75)/$AH$4,""))</f>
        <v>0</v>
      </c>
      <c r="AY73" s="82">
        <f>IF(AX$11&lt;$AB$4,704,"")</f>
        <v>704</v>
      </c>
      <c r="AZ73" s="21"/>
      <c r="BA73" s="68"/>
      <c r="BB73" s="21">
        <f>IF(BB$11=$AB$4,MAX(Stock!BA72-$AD$4,0),IF(BB$11&lt;$AB$4,($AJ$4*(BD71-BD75)+BD75)/$AH$4,""))</f>
        <v>0</v>
      </c>
      <c r="BC73" s="82">
        <f>IF(BB$11&lt;$AB$4,765,"")</f>
        <v>765</v>
      </c>
      <c r="BD73" s="22"/>
      <c r="BE73" s="71"/>
    </row>
    <row r="74" spans="2:57" ht="13.5" x14ac:dyDescent="0.2">
      <c r="B74" s="19"/>
      <c r="C74" s="21"/>
      <c r="D74" s="21"/>
      <c r="E74" s="21"/>
      <c r="F74" s="21"/>
      <c r="G74" s="21"/>
      <c r="H74" s="21"/>
      <c r="I74" s="25"/>
      <c r="J74" s="21"/>
      <c r="K74" s="26" t="str">
        <f>IF(L$11&gt;$AB$4,"",Stock!$G$1)</f>
        <v>│</v>
      </c>
      <c r="L74" s="21"/>
      <c r="M74" s="91" t="str">
        <f>IF(N$11&gt;$AB$4,"",$BD$2)</f>
        <v>│</v>
      </c>
      <c r="N74" s="25"/>
      <c r="O74" s="92" t="str">
        <f>IF(P$11&gt;$AB$4,"",Stock!$G$1)</f>
        <v>│</v>
      </c>
      <c r="P74" s="21"/>
      <c r="Q74" s="91" t="str">
        <f>IF(R$11&gt;$AB$4,"",$BD$2)</f>
        <v>│</v>
      </c>
      <c r="R74" s="21"/>
      <c r="S74" s="92" t="str">
        <f>IF(T$11&gt;$AB$4,"",Stock!$G$1)</f>
        <v>│</v>
      </c>
      <c r="T74" s="21"/>
      <c r="U74" s="91" t="str">
        <f>IF(V$11&gt;$AB$4,"",$BD$2)</f>
        <v>│</v>
      </c>
      <c r="V74" s="21"/>
      <c r="W74" s="92" t="str">
        <f>IF(X$11&gt;$AB$4,"",Stock!$G$1)</f>
        <v>│</v>
      </c>
      <c r="X74" s="21"/>
      <c r="Y74" s="91" t="str">
        <f>IF(Z$11&gt;$AB$4,"",$BD$2)</f>
        <v>│</v>
      </c>
      <c r="Z74" s="21"/>
      <c r="AA74" s="94" t="str">
        <f>IF(AB$11&gt;$AB$4,"",Stock!$G$1)</f>
        <v>│</v>
      </c>
      <c r="AB74" s="21"/>
      <c r="AC74" s="91" t="str">
        <f>IF(AD$11&gt;$AB$4,"",$BD$2)</f>
        <v>│</v>
      </c>
      <c r="AD74" s="21"/>
      <c r="AE74" s="92" t="str">
        <f>IF(AF$11&gt;$AB$4,"",Stock!$G$1)</f>
        <v>│</v>
      </c>
      <c r="AF74" s="21"/>
      <c r="AG74" s="91" t="str">
        <f>IF(AH$11&gt;$AB$4,"",$BD$2)</f>
        <v>│</v>
      </c>
      <c r="AH74" s="21"/>
      <c r="AI74" s="92" t="str">
        <f>IF(AJ$11&gt;$AB$4,"",Stock!$G$1)</f>
        <v>│</v>
      </c>
      <c r="AJ74" s="21"/>
      <c r="AK74" s="81" t="str">
        <f>IF(AL$11&gt;$AB$4,"",$BD$2)</f>
        <v>│</v>
      </c>
      <c r="AL74" s="21"/>
      <c r="AM74" s="87" t="str">
        <f>IF(AN$11&gt;$AB$4,"",Stock!$G$1)</f>
        <v>│</v>
      </c>
      <c r="AN74" s="21"/>
      <c r="AO74" s="81" t="str">
        <f>IF(AP$11&gt;$AB$4,"",$BD$2)</f>
        <v>│</v>
      </c>
      <c r="AP74" s="21"/>
      <c r="AQ74" s="26" t="str">
        <f>IF(AR$11&gt;$AB$4,"",Stock!$G$1)</f>
        <v>│</v>
      </c>
      <c r="AR74" s="21"/>
      <c r="AS74" s="81" t="str">
        <f>IF(AT$11&gt;$AB$4,"",$BD$2)</f>
        <v>│</v>
      </c>
      <c r="AT74" s="21"/>
      <c r="AU74" s="26" t="str">
        <f>IF(AV$11&gt;$AB$4,"",Stock!$G$1)</f>
        <v>│</v>
      </c>
      <c r="AV74" s="21"/>
      <c r="AW74" s="84" t="str">
        <f>IF(AX$11&gt;$AB$4,"",$BD$2)</f>
        <v>│</v>
      </c>
      <c r="AX74" s="21"/>
      <c r="AY74" s="26" t="str">
        <f>IF(AZ$11&gt;$AB$4,"",Stock!$G$1)</f>
        <v>│</v>
      </c>
      <c r="AZ74" s="21"/>
      <c r="BA74" s="81" t="str">
        <f>IF(BB$11&gt;$AB$4,"",$BD$2)</f>
        <v>│</v>
      </c>
      <c r="BB74" s="21"/>
      <c r="BC74" s="26" t="str">
        <f>IF(BD$11&gt;$AB$4,"",Stock!$G$1)</f>
        <v>│</v>
      </c>
      <c r="BD74" s="22"/>
      <c r="BE74" s="71"/>
    </row>
    <row r="75" spans="2:57" x14ac:dyDescent="0.2">
      <c r="B75" s="19"/>
      <c r="C75" s="21"/>
      <c r="D75" s="21"/>
      <c r="E75" s="21"/>
      <c r="F75" s="21"/>
      <c r="G75" s="21"/>
      <c r="H75" s="21"/>
      <c r="I75" s="21"/>
      <c r="J75" s="21"/>
      <c r="K75" s="68"/>
      <c r="L75" s="21">
        <f>IF(L$11=$AB$4,MAX(Stock!K74-Stock!$W$2,0),IF(L$11&lt;$AB$4,($AJ$4*(N73-N77)+N77)/$AH$4,""))</f>
        <v>8.9170960419309218</v>
      </c>
      <c r="M75" s="82">
        <f>IF(L$11&lt;$AB$4,125,"")</f>
        <v>125</v>
      </c>
      <c r="N75" s="21"/>
      <c r="O75" s="90"/>
      <c r="P75" s="21">
        <f>IF(P$11=$AB$4,MAX(Stock!O74-$AD$4,0),IF(P$11&lt;$AB$4,($AJ$4*(R73-R77)+R77)/$AH$4,""))</f>
        <v>7.8122709573835483</v>
      </c>
      <c r="Q75" s="82">
        <f>IF(P$11&lt;$AB$4,186,"")</f>
        <v>186</v>
      </c>
      <c r="R75" s="21"/>
      <c r="S75" s="90"/>
      <c r="T75" s="21">
        <f>IF(T$11=$AB$4,MAX(Stock!S74-$AD$4,0),IF(T$11&lt;$AB$4,($AJ$4*(V73-V77)+V77)/$AH$4,""))</f>
        <v>6.7012011060086589</v>
      </c>
      <c r="U75" s="82">
        <f>IF(T$11&lt;$AB$4,247,"")</f>
        <v>247</v>
      </c>
      <c r="V75" s="21"/>
      <c r="W75" s="90"/>
      <c r="X75" s="21">
        <f>IF(X$11=$AB$4,MAX(Stock!W74-$AD$4,0),IF(X$11&lt;$AB$4,($AJ$4*(Z73-Z77)+Z77)/$AH$4,""))</f>
        <v>5.5885886102934723</v>
      </c>
      <c r="Y75" s="82">
        <f>IF(X$11&lt;$AB$4,308,"")</f>
        <v>308</v>
      </c>
      <c r="Z75" s="21"/>
      <c r="AA75" s="82"/>
      <c r="AB75" s="21">
        <f>IF(AB$11=$AB$4,MAX(Stock!AA74-$AD$4,0),IF(AB$11&lt;$AB$4,($AJ$4*(AD73-AD77)+AD77)/$AH$4,""))</f>
        <v>4.4820327132950588</v>
      </c>
      <c r="AC75" s="82">
        <f>IF(AB$11&lt;$AB$4,369,"")</f>
        <v>369</v>
      </c>
      <c r="AD75" s="21"/>
      <c r="AE75" s="90"/>
      <c r="AF75" s="21">
        <f>IF(AF$11=$AB$4,MAX(Stock!AE74-$AD$4,0),IF(AF$11&lt;$AB$4,($AJ$4*(AH73-AH77)+AH77)/$AH$4,""))</f>
        <v>3.3940076141487916</v>
      </c>
      <c r="AG75" s="90">
        <v>430</v>
      </c>
      <c r="AH75" s="21"/>
      <c r="AI75" s="90"/>
      <c r="AJ75" s="21">
        <f>IF(AJ$11=$AB$4,MAX(Stock!AI74-$AD$4,0),IF(AJ$11&lt;$AB$4,($AJ$4*(AL73-AL77)+AL77)/$AH$4,""))</f>
        <v>2.3455583514800744</v>
      </c>
      <c r="AK75" s="82">
        <f>IF(AJ$11&lt;$AB$4,491,"")</f>
        <v>491</v>
      </c>
      <c r="AL75" s="21"/>
      <c r="AM75" s="88"/>
      <c r="AN75" s="21">
        <f>IF(AN$11=$AB$4,MAX(Stock!AM74-$AD$4,0),IF(AN$11&lt;$AB$4,($AJ$4*(AP73-AP77)+AP77)/$AH$4,""))</f>
        <v>1.3736413060928443</v>
      </c>
      <c r="AO75" s="82">
        <f>IF(AN$11&lt;$AB$4,552,"")</f>
        <v>552</v>
      </c>
      <c r="AP75" s="21"/>
      <c r="AQ75" s="68"/>
      <c r="AR75" s="21">
        <f>IF(AR$11=$AB$4,MAX(Stock!AQ74-$AD$4,0),IF(AR$11&lt;$AB$4,($AJ$4*(AT73-AT77)+AT77)/$AH$4,""))</f>
        <v>0.54674409336602259</v>
      </c>
      <c r="AS75" s="82">
        <f>IF(AR$11&lt;$AB$4,613,"")</f>
        <v>613</v>
      </c>
      <c r="AT75" s="21"/>
      <c r="AU75" s="68"/>
      <c r="AV75" s="21">
        <f>IF(AV$11=$AB$4,MAX(Stock!AU74-$AD$4,0),IF(AV$11&lt;$AB$4,($AJ$4*(AX73-AX77)+AX77)/$AH$4,""))</f>
        <v>0</v>
      </c>
      <c r="AW75" s="82">
        <f>IF(AV$11&lt;$AB$4,674,"")</f>
        <v>674</v>
      </c>
      <c r="AX75" s="21"/>
      <c r="AY75" s="68"/>
      <c r="AZ75" s="21">
        <f>IF(AZ$11=$AB$4,MAX(Stock!AY74-$AD$4,0),IF(AZ$11&lt;$AB$4,($AJ$4*(BB73-BB77)+BB77)/$AH$4,""))</f>
        <v>0</v>
      </c>
      <c r="BA75" s="82">
        <f>IF(AZ$11&lt;$AB$4,735,"")</f>
        <v>735</v>
      </c>
      <c r="BB75" s="21"/>
      <c r="BC75" s="68"/>
      <c r="BD75" s="22">
        <f>IF(BD$11=$AB$4,MAX(Stock!BC74-$AD$4,0),IF(BD$11&lt;$AB$4,($AJ$4*(BE73-BE77)+BE77)/$AH$4,""))</f>
        <v>0</v>
      </c>
      <c r="BE75" s="71"/>
    </row>
    <row r="76" spans="2:57" ht="13.5" x14ac:dyDescent="0.2">
      <c r="B76" s="19"/>
      <c r="C76" s="21"/>
      <c r="D76" s="21"/>
      <c r="E76" s="21"/>
      <c r="F76" s="21"/>
      <c r="G76" s="21"/>
      <c r="H76" s="21"/>
      <c r="I76" s="21"/>
      <c r="J76" s="21"/>
      <c r="K76" s="68"/>
      <c r="L76" s="21"/>
      <c r="M76" s="26" t="str">
        <f>IF(N$11&gt;$AB$4,"",Stock!$G$1)</f>
        <v>│</v>
      </c>
      <c r="N76" s="21"/>
      <c r="O76" s="91" t="str">
        <f>IF(P$11&gt;$AB$4,"",$BD$2)</f>
        <v>│</v>
      </c>
      <c r="P76" s="21"/>
      <c r="Q76" s="92" t="str">
        <f>IF(R$11&gt;$AB$4,"",Stock!$G$1)</f>
        <v>│</v>
      </c>
      <c r="R76" s="21"/>
      <c r="S76" s="91" t="str">
        <f>IF(T$11&gt;$AB$4,"",$BD$2)</f>
        <v>│</v>
      </c>
      <c r="T76" s="21"/>
      <c r="U76" s="92" t="str">
        <f>IF(V$11&gt;$AB$4,"",Stock!$G$1)</f>
        <v>│</v>
      </c>
      <c r="V76" s="21"/>
      <c r="W76" s="91" t="str">
        <f>IF(X$11&gt;$AB$4,"",$BD$2)</f>
        <v>│</v>
      </c>
      <c r="X76" s="21"/>
      <c r="Y76" s="92" t="str">
        <f>IF(Z$11&gt;$AB$4,"",Stock!$G$1)</f>
        <v>│</v>
      </c>
      <c r="Z76" s="21"/>
      <c r="AA76" s="95" t="str">
        <f>IF(AB$11&gt;$AB$4,"",$BD$2)</f>
        <v>│</v>
      </c>
      <c r="AB76" s="21"/>
      <c r="AC76" s="92" t="str">
        <f>IF(AD$11&gt;$AB$4,"",Stock!$G$1)</f>
        <v>│</v>
      </c>
      <c r="AD76" s="21"/>
      <c r="AE76" s="91" t="str">
        <f>IF(AF$11&gt;$AB$4,"",$BD$2)</f>
        <v>│</v>
      </c>
      <c r="AF76" s="21"/>
      <c r="AG76" s="92" t="str">
        <f>IF(AH$11&gt;$AB$4,"",Stock!$G$1)</f>
        <v>│</v>
      </c>
      <c r="AH76" s="21"/>
      <c r="AI76" s="91" t="str">
        <f>IF(AJ$11&gt;$AB$4,"",$BD$2)</f>
        <v>│</v>
      </c>
      <c r="AJ76" s="21"/>
      <c r="AK76" s="26" t="str">
        <f>IF(AL$11&gt;$AB$4,"",Stock!$G$1)</f>
        <v>│</v>
      </c>
      <c r="AL76" s="21"/>
      <c r="AM76" s="89" t="str">
        <f>IF(AN$11&gt;$AB$4,"",$BD$2)</f>
        <v>│</v>
      </c>
      <c r="AN76" s="21"/>
      <c r="AO76" s="26" t="str">
        <f>IF(AP$11&gt;$AB$4,"",Stock!$G$1)</f>
        <v>│</v>
      </c>
      <c r="AP76" s="21"/>
      <c r="AQ76" s="81" t="str">
        <f>IF(AR$11&gt;$AB$4,"",$BD$2)</f>
        <v>│</v>
      </c>
      <c r="AR76" s="21"/>
      <c r="AS76" s="26" t="str">
        <f>IF(AT$11&gt;$AB$4,"",Stock!$G$1)</f>
        <v>│</v>
      </c>
      <c r="AT76" s="21"/>
      <c r="AU76" s="81" t="str">
        <f>IF(AV$11&gt;$AB$4,"",$BD$2)</f>
        <v>│</v>
      </c>
      <c r="AV76" s="21"/>
      <c r="AW76" s="85" t="str">
        <f>IF(AX$11&gt;$AB$4,"",Stock!$G$1)</f>
        <v>│</v>
      </c>
      <c r="AX76" s="21"/>
      <c r="AY76" s="81" t="str">
        <f>IF(AZ$11&gt;$AB$4,"",$BD$2)</f>
        <v>│</v>
      </c>
      <c r="AZ76" s="21"/>
      <c r="BA76" s="26" t="str">
        <f>IF(BB$11&gt;$AB$4,"",Stock!$G$1)</f>
        <v>│</v>
      </c>
      <c r="BB76" s="21"/>
      <c r="BC76" s="81" t="str">
        <f>IF(BD$11&gt;$AB$4,"",$BD$2)</f>
        <v>│</v>
      </c>
      <c r="BD76" s="22"/>
      <c r="BE76" s="71"/>
    </row>
    <row r="77" spans="2:57" x14ac:dyDescent="0.2">
      <c r="B77" s="19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68"/>
      <c r="N77" s="21">
        <f>IF(N$11=$AB$4,MAX(Stock!M76-$AD$4,0),IF(N$11&lt;$AB$4,($AJ$4*(P75-P79)+P79)/$AH$4,""))</f>
        <v>5.3941242064639532</v>
      </c>
      <c r="O77" s="82">
        <f>IF(N$11&lt;$AB$4,156,"")</f>
        <v>156</v>
      </c>
      <c r="P77" s="21"/>
      <c r="Q77" s="90"/>
      <c r="R77" s="21">
        <f>IF(R$11=$AB$4,MAX(Stock!Q76-$AD$4,0),IF(R$11&lt;$AB$4,($AJ$4*(T75-T79)+T79)/$AH$4,""))</f>
        <v>4.5262804252727413</v>
      </c>
      <c r="S77" s="82">
        <f>IF(R$11&lt;$AB$4,2171,"")</f>
        <v>2171</v>
      </c>
      <c r="T77" s="21"/>
      <c r="U77" s="90"/>
      <c r="V77" s="21">
        <f>IF(V$11=$AB$4,MAX(Stock!U76-$AD$4,0),IF(V$11&lt;$AB$4,($AJ$4*(X75-X79)+X79)/$AH$4,""))</f>
        <v>3.6775748967258473</v>
      </c>
      <c r="W77" s="82">
        <f>IF(V$11&lt;$AB$4,278,"")</f>
        <v>278</v>
      </c>
      <c r="X77" s="21"/>
      <c r="Y77" s="90"/>
      <c r="Z77" s="21">
        <f>IF(Z$11=$AB$4,MAX(Stock!Y76-$AD$4,0),IF(Z$11&lt;$AB$4,($AJ$4*(AB75-AB79)+AB79)/$AH$4,""))</f>
        <v>2.8578260482659545</v>
      </c>
      <c r="AA77" s="82">
        <f>IF(Z$11&lt;$AB$4,339,"")</f>
        <v>339</v>
      </c>
      <c r="AB77" s="21"/>
      <c r="AC77" s="90"/>
      <c r="AD77" s="21">
        <f>IF(AD$11=$AB$4,MAX(Stock!AC76-$AD$4,0),IF(AD$11&lt;$AB$4,($AJ$4*(AF75-AF79)+AF79)/$AH$4,""))</f>
        <v>2.0811274452960782</v>
      </c>
      <c r="AE77" s="82">
        <f>IF(AD$11&lt;$AB$4,400,"")</f>
        <v>400</v>
      </c>
      <c r="AF77" s="21"/>
      <c r="AG77" s="90"/>
      <c r="AH77" s="21">
        <f>IF(AH$11=$AB$4,MAX(Stock!AG76-$AD$4,0),IF(AH$11&lt;$AB$4,($AJ$4*(AJ75-AJ79)+AJ79)/$AH$4,""))</f>
        <v>1.3681002122089829</v>
      </c>
      <c r="AI77" s="90">
        <v>461</v>
      </c>
      <c r="AJ77" s="21"/>
      <c r="AK77" s="68"/>
      <c r="AL77" s="21">
        <f>IF(AL$11=$AB$4,MAX(Stock!AK76-$AD$4,0),IF(AL$11&lt;$AB$4,($AJ$4*(AN75-AN79)+AN79)/$AH$4,""))</f>
        <v>0.74946748090678772</v>
      </c>
      <c r="AM77" s="82">
        <f>IF(AL$11&lt;$AB$4,522,"")</f>
        <v>522</v>
      </c>
      <c r="AN77" s="21"/>
      <c r="AO77" s="81"/>
      <c r="AP77" s="21">
        <f>IF(AP$11=$AB$4,MAX(Stock!AO76-$AD$4,0),IF(AP$11&lt;$AB$4,($AJ$4*(AR75-AR79)+AR79)/$AH$4,""))</f>
        <v>0.27134359925661117</v>
      </c>
      <c r="AQ77" s="82">
        <f>IF(AP$11&lt;$AB$4,583,"")</f>
        <v>583</v>
      </c>
      <c r="AR77" s="21"/>
      <c r="AS77" s="68"/>
      <c r="AT77" s="21">
        <f>IF(AT$11=$AB$4,MAX(Stock!AS76-$AD$4,0),IF(AT$11&lt;$AB$4,($AJ$4*(AV75-AV79)+AV79)/$AH$4,""))</f>
        <v>0</v>
      </c>
      <c r="AU77" s="82">
        <f>IF(AT$11&lt;$AB$4,644,"")</f>
        <v>644</v>
      </c>
      <c r="AV77" s="21"/>
      <c r="AW77" s="83"/>
      <c r="AX77" s="21">
        <f>IF(AX$11=$AB$4,MAX(Stock!AW76-$AD$4,0),IF(AX$11&lt;$AB$4,($AJ$4*(AZ75-AZ79)+AZ79)/$AH$4,""))</f>
        <v>0</v>
      </c>
      <c r="AY77" s="82">
        <f>IF(AX$11&lt;$AB$4,705,"")</f>
        <v>705</v>
      </c>
      <c r="AZ77" s="21"/>
      <c r="BA77" s="68"/>
      <c r="BB77" s="21">
        <f>IF(BB$11=$AB$4,MAX(Stock!BA76-$AD$4,0),IF(BB$11&lt;$AB$4,($AJ$4*(BD75-BD79)+BD79)/$AH$4,""))</f>
        <v>0</v>
      </c>
      <c r="BC77" s="82">
        <f>IF(BB$11&lt;$AB$4,766,"")</f>
        <v>766</v>
      </c>
      <c r="BD77" s="22"/>
      <c r="BE77" s="71"/>
    </row>
    <row r="78" spans="2:57" ht="13.5" x14ac:dyDescent="0.2">
      <c r="B78" s="19"/>
      <c r="C78" s="104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6" t="str">
        <f>IF(P$11&gt;$AB$4,"",Stock!$G$1)</f>
        <v>│</v>
      </c>
      <c r="P78" s="21"/>
      <c r="Q78" s="91" t="str">
        <f>IF(R$11&gt;$AB$4,"",$BD$2)</f>
        <v>│</v>
      </c>
      <c r="R78" s="21"/>
      <c r="S78" s="92" t="str">
        <f>IF(T$11&gt;$AB$4,"",Stock!$G$1)</f>
        <v>│</v>
      </c>
      <c r="T78" s="21"/>
      <c r="U78" s="91" t="str">
        <f>IF(V$11&gt;$AB$4,"",$BD$2)</f>
        <v>│</v>
      </c>
      <c r="V78" s="21"/>
      <c r="W78" s="92" t="str">
        <f>IF(X$11&gt;$AB$4,"",Stock!$G$1)</f>
        <v>│</v>
      </c>
      <c r="X78" s="21"/>
      <c r="Y78" s="91" t="str">
        <f>IF(Z$11&gt;$AB$4,"",$BD$2)</f>
        <v>│</v>
      </c>
      <c r="Z78" s="21"/>
      <c r="AA78" s="94" t="str">
        <f>IF(AB$11&gt;$AB$4,"",Stock!$G$1)</f>
        <v>│</v>
      </c>
      <c r="AB78" s="21"/>
      <c r="AC78" s="91" t="str">
        <f>IF(AD$11&gt;$AB$4,"",$BD$2)</f>
        <v>│</v>
      </c>
      <c r="AD78" s="21"/>
      <c r="AE78" s="92" t="str">
        <f>IF(AF$11&gt;$AB$4,"",Stock!$G$1)</f>
        <v>│</v>
      </c>
      <c r="AF78" s="21"/>
      <c r="AG78" s="91" t="str">
        <f>IF(AH$11&gt;$AB$4,"",$BD$2)</f>
        <v>│</v>
      </c>
      <c r="AH78" s="21"/>
      <c r="AI78" s="92" t="str">
        <f>IF(AJ$11&gt;$AB$4,"",Stock!$G$1)</f>
        <v>│</v>
      </c>
      <c r="AJ78" s="21"/>
      <c r="AK78" s="81" t="str">
        <f>IF(AL$11&gt;$AB$4,"",$BD$2)</f>
        <v>│</v>
      </c>
      <c r="AL78" s="21"/>
      <c r="AM78" s="87" t="str">
        <f>IF(AN$11&gt;$AB$4,"",Stock!$G$1)</f>
        <v>│</v>
      </c>
      <c r="AN78" s="21"/>
      <c r="AO78" s="81" t="str">
        <f>IF(AP$11&gt;$AB$4,"",$BD$2)</f>
        <v>│</v>
      </c>
      <c r="AP78" s="21"/>
      <c r="AQ78" s="26" t="str">
        <f>IF(AR$11&gt;$AB$4,"",Stock!$G$1)</f>
        <v>│</v>
      </c>
      <c r="AR78" s="21"/>
      <c r="AS78" s="81" t="str">
        <f>IF(AT$11&gt;$AB$4,"",$BD$2)</f>
        <v>│</v>
      </c>
      <c r="AT78" s="21"/>
      <c r="AU78" s="26" t="str">
        <f>IF(AV$11&gt;$AB$4,"",Stock!$G$1)</f>
        <v>│</v>
      </c>
      <c r="AV78" s="21"/>
      <c r="AW78" s="84" t="str">
        <f>IF(AX$11&gt;$AB$4,"",$BD$2)</f>
        <v>│</v>
      </c>
      <c r="AX78" s="21"/>
      <c r="AY78" s="26" t="str">
        <f>IF(AZ$11&gt;$AB$4,"",Stock!$G$1)</f>
        <v>│</v>
      </c>
      <c r="AZ78" s="21"/>
      <c r="BA78" s="81" t="str">
        <f>IF(BB$11&gt;$AB$4,"",$BD$2)</f>
        <v>│</v>
      </c>
      <c r="BB78" s="21"/>
      <c r="BC78" s="26" t="str">
        <f>IF(BD$11&gt;$AB$4,"",Stock!$G$1)</f>
        <v>│</v>
      </c>
      <c r="BD78" s="22"/>
      <c r="BE78" s="71"/>
    </row>
    <row r="79" spans="2:57" x14ac:dyDescent="0.2">
      <c r="B79" s="19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68"/>
      <c r="P79" s="21">
        <f>IF(P$11=$AB$4,MAX(Stock!O78-$AD$4,0),IF(P$11&lt;$AB$4,($AJ$4*(R77-R81)+R81)/$AH$4,""))</f>
        <v>3.0155581965851916</v>
      </c>
      <c r="Q79" s="82">
        <f>IF(P$11&lt;$AB$4,187,"")</f>
        <v>187</v>
      </c>
      <c r="R79" s="21"/>
      <c r="S79" s="90"/>
      <c r="T79" s="21">
        <f>IF(T$11=$AB$4,MAX(Stock!S78-$AD$4,0),IF(T$11&lt;$AB$4,($AJ$4*(V77-V81)+V81)/$AH$4,""))</f>
        <v>2.386531667044733</v>
      </c>
      <c r="U79" s="82">
        <f>IF(T$11&lt;$AB$4,248,"")</f>
        <v>248</v>
      </c>
      <c r="V79" s="21"/>
      <c r="W79" s="90"/>
      <c r="X79" s="21">
        <f>IF(X$11=$AB$4,MAX(Stock!W78-$AD$4,0),IF(X$11&lt;$AB$4,($AJ$4*(Z77-Z81)+Z81)/$AH$4,""))</f>
        <v>1.797071587929342</v>
      </c>
      <c r="Y79" s="82">
        <f>IF(X$11&lt;$AB$4,309,"")</f>
        <v>309</v>
      </c>
      <c r="Z79" s="21"/>
      <c r="AA79" s="82"/>
      <c r="AB79" s="21">
        <f>IF(AB$11=$AB$4,MAX(Stock!AA78-$AD$4,0),IF(AB$11&lt;$AB$4,($AJ$4*(AD77-AD81)+AD81)/$AH$4,""))</f>
        <v>1.2591986631095515</v>
      </c>
      <c r="AC79" s="82">
        <f>IF(AB$11&lt;$AB$4,370,"")</f>
        <v>370</v>
      </c>
      <c r="AD79" s="21"/>
      <c r="AE79" s="90"/>
      <c r="AF79" s="21">
        <f>IF(AF$11=$AB$4,MAX(Stock!AE78-$AD$4,0),IF(AF$11&lt;$AB$4,($AJ$4*(AH77-AH81)+AH81)/$AH$4,""))</f>
        <v>0.78862259563280546</v>
      </c>
      <c r="AG79" s="90">
        <v>431</v>
      </c>
      <c r="AH79" s="21"/>
      <c r="AI79" s="90"/>
      <c r="AJ79" s="21">
        <f>IF(AJ$11=$AB$4,MAX(Stock!AI78-$AD$4,0),IF(AJ$11&lt;$AB$4,($AJ$4*(AL77-AL81)+AL81)/$AH$4,""))</f>
        <v>0.40557340133345149</v>
      </c>
      <c r="AK79" s="82">
        <f>IF(AJ$11&lt;$AB$4,492,"")</f>
        <v>492</v>
      </c>
      <c r="AL79" s="21"/>
      <c r="AM79" s="88"/>
      <c r="AN79" s="21">
        <f>IF(AN$11=$AB$4,MAX(Stock!AM78-$AD$4,0),IF(AN$11&lt;$AB$4,($AJ$4*(AP77-AP81)+AP81)/$AH$4,""))</f>
        <v>0.13466510155463524</v>
      </c>
      <c r="AO79" s="82">
        <f>IF(AN$11&lt;$AB$4,553,"")</f>
        <v>553</v>
      </c>
      <c r="AP79" s="21"/>
      <c r="AQ79" s="68"/>
      <c r="AR79" s="21">
        <f>IF(AR$11=$AB$4,MAX(Stock!AQ78-$AD$4,0),IF(AR$11&lt;$AB$4,($AJ$4*(AT77-AT81)+AT81)/$AH$4,""))</f>
        <v>0</v>
      </c>
      <c r="AS79" s="82">
        <f>IF(AR$11&lt;$AB$4,614,"")</f>
        <v>614</v>
      </c>
      <c r="AT79" s="21"/>
      <c r="AU79" s="68"/>
      <c r="AV79" s="21">
        <f>IF(AV$11=$AB$4,MAX(Stock!AU78-$AD$4,0),IF(AV$11&lt;$AB$4,($AJ$4*(AX77-AX81)+AX81)/$AH$4,""))</f>
        <v>0</v>
      </c>
      <c r="AW79" s="82">
        <f>IF(AV$11&lt;$AB$4,675,"")</f>
        <v>675</v>
      </c>
      <c r="AX79" s="21"/>
      <c r="AY79" s="68"/>
      <c r="AZ79" s="21">
        <f>IF(AZ$11=$AB$4,MAX(Stock!AY78-$AD$4,0),IF(AZ$11&lt;$AB$4,($AJ$4*(BB77-BB81)+BB81)/$AH$4,""))</f>
        <v>0</v>
      </c>
      <c r="BA79" s="82">
        <f>IF(AZ$11&lt;$AB$4,736,"")</f>
        <v>736</v>
      </c>
      <c r="BB79" s="21"/>
      <c r="BC79" s="81"/>
      <c r="BD79" s="22">
        <f>IF(BD$11=$AB$4,MAX(Stock!BC78-$AD$4,0),IF(BD$11&lt;$AB$4,($AJ$4*(BE77-BE81)+BE81)/$AH$4,""))</f>
        <v>0</v>
      </c>
      <c r="BE79" s="71"/>
    </row>
    <row r="80" spans="2:57" ht="13.5" x14ac:dyDescent="0.2">
      <c r="B80" s="19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104"/>
      <c r="P80" s="21"/>
      <c r="Q80" s="26" t="str">
        <f>IF(R$11&gt;$AB$4,"",Stock!$G$1)</f>
        <v>│</v>
      </c>
      <c r="R80" s="21"/>
      <c r="S80" s="91" t="str">
        <f>IF(T$11&gt;$AB$4,"",$BD$2)</f>
        <v>│</v>
      </c>
      <c r="T80" s="21"/>
      <c r="U80" s="92" t="str">
        <f>IF(V$11&gt;$AB$4,"",Stock!$G$1)</f>
        <v>│</v>
      </c>
      <c r="V80" s="21"/>
      <c r="W80" s="91" t="str">
        <f>IF(X$11&gt;$AB$4,"",$BD$2)</f>
        <v>│</v>
      </c>
      <c r="X80" s="21"/>
      <c r="Y80" s="92" t="str">
        <f>IF(Z$11&gt;$AB$4,"",Stock!$G$1)</f>
        <v>│</v>
      </c>
      <c r="Z80" s="21"/>
      <c r="AA80" s="95" t="str">
        <f>IF(AB$11&gt;$AB$4,"",$BD$2)</f>
        <v>│</v>
      </c>
      <c r="AB80" s="21"/>
      <c r="AC80" s="92" t="str">
        <f>IF(AD$11&gt;$AB$4,"",Stock!$G$1)</f>
        <v>│</v>
      </c>
      <c r="AD80" s="21"/>
      <c r="AE80" s="91" t="str">
        <f>IF(AF$11&gt;$AB$4,"",$BD$2)</f>
        <v>│</v>
      </c>
      <c r="AF80" s="21"/>
      <c r="AG80" s="92" t="str">
        <f>IF(AH$11&gt;$AB$4,"",Stock!$G$1)</f>
        <v>│</v>
      </c>
      <c r="AH80" s="21"/>
      <c r="AI80" s="91" t="str">
        <f>IF(AJ$11&gt;$AB$4,"",$BD$2)</f>
        <v>│</v>
      </c>
      <c r="AJ80" s="21"/>
      <c r="AK80" s="26" t="str">
        <f>IF(AL$11&gt;$AB$4,"",Stock!$G$1)</f>
        <v>│</v>
      </c>
      <c r="AL80" s="21"/>
      <c r="AM80" s="89" t="str">
        <f>IF(AN$11&gt;$AB$4,"",$BD$2)</f>
        <v>│</v>
      </c>
      <c r="AN80" s="21"/>
      <c r="AO80" s="26" t="str">
        <f>IF(AP$11&gt;$AB$4,"",Stock!$G$1)</f>
        <v>│</v>
      </c>
      <c r="AP80" s="21"/>
      <c r="AQ80" s="81" t="str">
        <f>IF(AR$11&gt;$AB$4,"",$BD$2)</f>
        <v>│</v>
      </c>
      <c r="AR80" s="21"/>
      <c r="AS80" s="26" t="str">
        <f>IF(AT$11&gt;$AB$4,"",Stock!$G$1)</f>
        <v>│</v>
      </c>
      <c r="AT80" s="21"/>
      <c r="AU80" s="81" t="str">
        <f>IF(AV$11&gt;$AB$4,"",$BD$2)</f>
        <v>│</v>
      </c>
      <c r="AV80" s="21"/>
      <c r="AW80" s="85" t="str">
        <f>IF(AX$11&gt;$AB$4,"",Stock!$G$1)</f>
        <v>│</v>
      </c>
      <c r="AX80" s="21"/>
      <c r="AY80" s="81" t="str">
        <f>IF(AZ$11&gt;$AB$4,"",$BD$2)</f>
        <v>│</v>
      </c>
      <c r="AZ80" s="21"/>
      <c r="BA80" s="26" t="str">
        <f>IF(BB$11&gt;$AB$4,"",Stock!$G$1)</f>
        <v>│</v>
      </c>
      <c r="BB80" s="21"/>
      <c r="BC80" s="81" t="str">
        <f>IF(BD$11&gt;$AB$4,"",$BD$2)</f>
        <v>│</v>
      </c>
      <c r="BD80" s="22"/>
      <c r="BE80" s="71"/>
    </row>
    <row r="81" spans="2:57" x14ac:dyDescent="0.2"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1"/>
      <c r="P81" s="21"/>
      <c r="Q81" s="68"/>
      <c r="R81" s="21">
        <f>IF(R$11=$AB$4,MAX(Stock!Q80-$AD$4,0),IF(R$11&lt;$AB$4,($AJ$4*(T79-T83)+T83)/$AH$4,""))</f>
        <v>1.5290978855505093</v>
      </c>
      <c r="S81" s="82">
        <f>IF(R$11&lt;$AB$4,218,"")</f>
        <v>218</v>
      </c>
      <c r="T81" s="21"/>
      <c r="U81" s="90"/>
      <c r="V81" s="21">
        <f>IF(V$11=$AB$4,MAX(Stock!U80-$AD$4,0),IF(V$11&lt;$AB$4,($AJ$4*(X79-X83)+X83)/$AH$4,""))</f>
        <v>1.1159718728524095</v>
      </c>
      <c r="W81" s="82">
        <f>IF(V$11&lt;$AB$4,279,"")</f>
        <v>279</v>
      </c>
      <c r="X81" s="21"/>
      <c r="Y81" s="90"/>
      <c r="Z81" s="21">
        <f>IF(Z$11=$AB$4,MAX(Stock!Y80-$AD$4,0),IF(Z$11&lt;$AB$4,($AJ$4*(AB79-AB83)+AB83)/$AH$4,""))</f>
        <v>0.75293154964538367</v>
      </c>
      <c r="AA81" s="82">
        <f>IF(Z$11&lt;$AB$4,340,"")</f>
        <v>340</v>
      </c>
      <c r="AB81" s="21"/>
      <c r="AC81" s="90"/>
      <c r="AD81" s="21">
        <f>IF(AD$11=$AB$4,MAX(Stock!AC80-$AD$4,0),IF(AD$11&lt;$AB$4,($AJ$4*(AF79-AF83)+AF83)/$AH$4,""))</f>
        <v>0.44996841172051799</v>
      </c>
      <c r="AE81" s="82">
        <f>IF(AD$11&lt;$AB$4,401,"")</f>
        <v>401</v>
      </c>
      <c r="AF81" s="21"/>
      <c r="AG81" s="90"/>
      <c r="AH81" s="21">
        <f>IF(AH$11=$AB$4,MAX(Stock!AG80-$AD$4,0),IF(AH$11&lt;$AB$4,($AJ$4*(AJ79-AJ83)+AJ83)/$AH$4,""))</f>
        <v>0.21796738177679661</v>
      </c>
      <c r="AI81" s="90">
        <v>462</v>
      </c>
      <c r="AJ81" s="21"/>
      <c r="AK81" s="68"/>
      <c r="AL81" s="21">
        <f>IF(AL$11=$AB$4,MAX(Stock!AK80-$AD$4,0),IF(AL$11&lt;$AB$4,($AJ$4*(AN79-AN83)+AN83)/$AH$4,""))</f>
        <v>6.6832936639755217E-2</v>
      </c>
      <c r="AM81" s="82">
        <f>IF(AL$11&lt;$AB$4,523,"")</f>
        <v>523</v>
      </c>
      <c r="AN81" s="21"/>
      <c r="AO81" s="81"/>
      <c r="AP81" s="21">
        <f>IF(AP$11=$AB$4,MAX(Stock!AO80-$AD$4,0),IF(AP$11&lt;$AB$4,($AJ$4*(AR79-AR83)+AR83)/$AH$4,""))</f>
        <v>0</v>
      </c>
      <c r="AQ81" s="82">
        <f>IF(AP$11&lt;$AB$4,584,"")</f>
        <v>584</v>
      </c>
      <c r="AR81" s="21"/>
      <c r="AS81" s="68"/>
      <c r="AT81" s="21">
        <f>IF(AT$11=$AB$4,MAX(Stock!AS80-$AD$4,0),IF(AT$11&lt;$AB$4,($AJ$4*(AV79-AV83)+AV83)/$AH$4,""))</f>
        <v>0</v>
      </c>
      <c r="AU81" s="82">
        <f>IF(AT$11&lt;$AB$4,645,"")</f>
        <v>645</v>
      </c>
      <c r="AV81" s="21"/>
      <c r="AW81" s="83"/>
      <c r="AX81" s="21">
        <f>IF(AX$11=$AB$4,MAX(Stock!AW80-$AD$4,0),IF(AX$11&lt;$AB$4,($AJ$4*(AZ79-AZ83)+AZ83)/$AH$4,""))</f>
        <v>0</v>
      </c>
      <c r="AY81" s="82">
        <f>IF(AX$11&lt;$AB$4,706,"")</f>
        <v>706</v>
      </c>
      <c r="AZ81" s="21"/>
      <c r="BA81" s="68"/>
      <c r="BB81" s="21">
        <f>IF(BB$11=$AB$4,MAX(Stock!BA80-$AD$4,0),IF(BB$11&lt;$AB$4,($AJ$4*(BD79-BD83)+BD83)/$AH$4,""))</f>
        <v>0</v>
      </c>
      <c r="BC81" s="82">
        <f>IF(BB$11&lt;$AB$4,767,"")</f>
        <v>767</v>
      </c>
      <c r="BD81" s="22"/>
      <c r="BE81" s="71"/>
    </row>
    <row r="82" spans="2:57" ht="13.5" x14ac:dyDescent="0.2"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1"/>
      <c r="P82" s="21"/>
      <c r="Q82" s="21"/>
      <c r="R82" s="21"/>
      <c r="S82" s="26" t="str">
        <f>IF(T$11&gt;$AB$4,"",Stock!$G$1)</f>
        <v>│</v>
      </c>
      <c r="T82" s="21"/>
      <c r="U82" s="91" t="str">
        <f>IF(V$11&gt;$AB$4,"",$BD$2)</f>
        <v>│</v>
      </c>
      <c r="V82" s="21"/>
      <c r="W82" s="92" t="str">
        <f>IF(X$11&gt;$AB$4,"",Stock!$G$1)</f>
        <v>│</v>
      </c>
      <c r="X82" s="21"/>
      <c r="Y82" s="91" t="str">
        <f>IF(Z$11&gt;$AB$4,"",$BD$2)</f>
        <v>│</v>
      </c>
      <c r="Z82" s="21"/>
      <c r="AA82" s="94" t="str">
        <f>IF(AB$11&gt;$AB$4,"",Stock!$G$1)</f>
        <v>│</v>
      </c>
      <c r="AB82" s="21"/>
      <c r="AC82" s="91" t="str">
        <f>IF(AD$11&gt;$AB$4,"",$BD$2)</f>
        <v>│</v>
      </c>
      <c r="AD82" s="21"/>
      <c r="AE82" s="92" t="str">
        <f>IF(AF$11&gt;$AB$4,"",Stock!$G$1)</f>
        <v>│</v>
      </c>
      <c r="AF82" s="21"/>
      <c r="AG82" s="91" t="str">
        <f>IF(AH$11&gt;$AB$4,"",$BD$2)</f>
        <v>│</v>
      </c>
      <c r="AH82" s="21"/>
      <c r="AI82" s="92" t="str">
        <f>IF(AJ$11&gt;$AB$4,"",Stock!$G$1)</f>
        <v>│</v>
      </c>
      <c r="AJ82" s="21"/>
      <c r="AK82" s="81" t="str">
        <f>IF(AL$11&gt;$AB$4,"",$BD$2)</f>
        <v>│</v>
      </c>
      <c r="AL82" s="21"/>
      <c r="AM82" s="87" t="str">
        <f>IF(AN$11&gt;$AB$4,"",Stock!$G$1)</f>
        <v>│</v>
      </c>
      <c r="AN82" s="21"/>
      <c r="AO82" s="81" t="str">
        <f>IF(AP$11&gt;$AB$4,"",$BD$2)</f>
        <v>│</v>
      </c>
      <c r="AP82" s="21"/>
      <c r="AQ82" s="26" t="str">
        <f>IF(AR$11&gt;$AB$4,"",Stock!$G$1)</f>
        <v>│</v>
      </c>
      <c r="AR82" s="21"/>
      <c r="AS82" s="81" t="str">
        <f>IF(AT$11&gt;$AB$4,"",$BD$2)</f>
        <v>│</v>
      </c>
      <c r="AT82" s="21"/>
      <c r="AU82" s="26" t="str">
        <f>IF(AV$11&gt;$AB$4,"",Stock!$G$1)</f>
        <v>│</v>
      </c>
      <c r="AV82" s="21"/>
      <c r="AW82" s="84" t="str">
        <f>IF(AX$11&gt;$AB$4,"",$BD$2)</f>
        <v>│</v>
      </c>
      <c r="AX82" s="21"/>
      <c r="AY82" s="26" t="str">
        <f>IF(AZ$11&gt;$AB$4,"",Stock!$G$1)</f>
        <v>│</v>
      </c>
      <c r="AZ82" s="21"/>
      <c r="BA82" s="81" t="str">
        <f>IF(BB$11&gt;$AB$4,"",$BD$2)</f>
        <v>│</v>
      </c>
      <c r="BB82" s="21"/>
      <c r="BC82" s="26" t="str">
        <f>IF(BD$11&gt;$AB$4,"",Stock!$G$1)</f>
        <v>│</v>
      </c>
      <c r="BD82" s="22"/>
      <c r="BE82" s="71"/>
    </row>
    <row r="83" spans="2:57" x14ac:dyDescent="0.2"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1"/>
      <c r="M83" s="21"/>
      <c r="N83" s="21"/>
      <c r="O83" s="21"/>
      <c r="P83" s="21"/>
      <c r="Q83" s="21"/>
      <c r="R83" s="21"/>
      <c r="S83" s="68"/>
      <c r="T83" s="21">
        <f>IF(T$11=$AB$4,MAX(Stock!S82-$AD$4,0),IF(T$11&lt;$AB$4,($AJ$4*(V81-V85)+V85)/$AH$4,""))</f>
        <v>0.68519449570873647</v>
      </c>
      <c r="U83" s="82">
        <f>IF(T$11&lt;$AB$4,249,"")</f>
        <v>249</v>
      </c>
      <c r="V83" s="21"/>
      <c r="W83" s="90"/>
      <c r="X83" s="21">
        <f>IF(X$11=$AB$4,MAX(Stock!W82-$AD$4,0),IF(X$11&lt;$AB$4,($AJ$4*(Z81-Z85)+Z85)/$AH$4,""))</f>
        <v>0.44549027125375029</v>
      </c>
      <c r="Y83" s="82">
        <f>IF(X$11&lt;$AB$4,310,"")</f>
        <v>310</v>
      </c>
      <c r="Z83" s="21"/>
      <c r="AA83" s="82"/>
      <c r="AB83" s="21">
        <f>IF(AB$11=$AB$4,MAX(Stock!AA82-$AD$4,0),IF(AB$11&lt;$AB$4,($AJ$4*(AD81-AD85)+AD85)/$AH$4,""))</f>
        <v>0.2544562910948992</v>
      </c>
      <c r="AC83" s="82">
        <f>IF(AB$11&lt;$AB$4,371,"")</f>
        <v>371</v>
      </c>
      <c r="AD83" s="21"/>
      <c r="AE83" s="90"/>
      <c r="AF83" s="21">
        <f>IF(AF$11=$AB$4,MAX(Stock!AE82-$AD$4,0),IF(AF$11&lt;$AB$4,($AJ$4*(AH81-AH85)+AH85)/$AH$4,""))</f>
        <v>0.1164558067985532</v>
      </c>
      <c r="AG83" s="90">
        <v>432</v>
      </c>
      <c r="AH83" s="21"/>
      <c r="AI83" s="90"/>
      <c r="AJ83" s="21">
        <f>IF(AJ$11=$AB$4,MAX(Stock!AI82-$AD$4,0),IF(AJ$11&lt;$AB$4,($AJ$4*(AL81-AL85)+AL85)/$AH$4,""))</f>
        <v>3.3168514844073134E-2</v>
      </c>
      <c r="AK83" s="82">
        <f>IF(AJ$11&lt;$AB$4,493,"")</f>
        <v>493</v>
      </c>
      <c r="AL83" s="21"/>
      <c r="AM83" s="88"/>
      <c r="AN83" s="21">
        <f>IF(AN$11=$AB$4,MAX(Stock!AM82-$AD$4,0),IF(AN$11&lt;$AB$4,($AJ$4*(AP81-AP85)+AP85)/$AH$4,""))</f>
        <v>0</v>
      </c>
      <c r="AO83" s="82">
        <f>IF(AN$11&lt;$AB$4,554,"")</f>
        <v>554</v>
      </c>
      <c r="AP83" s="21"/>
      <c r="AQ83" s="68"/>
      <c r="AR83" s="21">
        <f>IF(AR$11=$AB$4,MAX(Stock!AQ82-$AD$4,0),IF(AR$11&lt;$AB$4,($AJ$4*(AT81-AT85)+AT85)/$AH$4,""))</f>
        <v>0</v>
      </c>
      <c r="AS83" s="82">
        <f>IF(AR$11&lt;$AB$4,615,"")</f>
        <v>615</v>
      </c>
      <c r="AT83" s="21"/>
      <c r="AU83" s="68"/>
      <c r="AV83" s="21">
        <f>IF(AV$11=$AB$4,MAX(Stock!AU82-$AD$4,0),IF(AV$11&lt;$AB$4,($AJ$4*(AX81-AX85)+AX85)/$AH$4,""))</f>
        <v>0</v>
      </c>
      <c r="AW83" s="82">
        <f>IF(AV$11&lt;$AB$4,676,"")</f>
        <v>676</v>
      </c>
      <c r="AX83" s="21"/>
      <c r="AY83" s="68"/>
      <c r="AZ83" s="21">
        <f>IF(AZ$11=$AB$4,MAX(Stock!AY82-$AD$4,0),IF(AZ$11&lt;$AB$4,($AJ$4*(BB81-BB85)+BB85)/$AH$4,""))</f>
        <v>0</v>
      </c>
      <c r="BA83" s="82">
        <f>IF(AZ$11&lt;$AB$4,737,"")</f>
        <v>737</v>
      </c>
      <c r="BB83" s="21"/>
      <c r="BC83" s="68"/>
      <c r="BD83" s="22">
        <f>IF(BD$11=$AB$4,MAX(Stock!BC82-$AD$4,0),IF(BD$11&lt;$AB$4,($AJ$4*(BE81-BE85)+BE85)/$AH$4,""))</f>
        <v>0</v>
      </c>
      <c r="BE83" s="71"/>
    </row>
    <row r="84" spans="2:57" ht="13.5" x14ac:dyDescent="0.2"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1"/>
      <c r="M84" s="21"/>
      <c r="N84" s="21"/>
      <c r="O84" s="21"/>
      <c r="P84" s="21"/>
      <c r="Q84" s="21"/>
      <c r="R84" s="21"/>
      <c r="S84" s="68"/>
      <c r="T84" s="21"/>
      <c r="U84" s="92" t="str">
        <f>IF(V$11&gt;$AB$4,"",Stock!$G$1)</f>
        <v>│</v>
      </c>
      <c r="V84" s="21"/>
      <c r="W84" s="91" t="str">
        <f>IF(X$11&gt;$AB$4,"",$BD$2)</f>
        <v>│</v>
      </c>
      <c r="X84" s="21"/>
      <c r="Y84" s="92" t="str">
        <f>IF(Z$11&gt;$AB$4,"",Stock!$G$1)</f>
        <v>│</v>
      </c>
      <c r="Z84" s="21"/>
      <c r="AA84" s="95" t="str">
        <f>IF(AB$11&gt;$AB$4,"",$BD$2)</f>
        <v>│</v>
      </c>
      <c r="AB84" s="21"/>
      <c r="AC84" s="92" t="str">
        <f>IF(AD$11&gt;$AB$4,"",Stock!$G$1)</f>
        <v>│</v>
      </c>
      <c r="AD84" s="21"/>
      <c r="AE84" s="91" t="str">
        <f>IF(AF$11&gt;$AB$4,"",$BD$2)</f>
        <v>│</v>
      </c>
      <c r="AF84" s="21"/>
      <c r="AG84" s="92" t="str">
        <f>IF(AH$11&gt;$AB$4,"",Stock!$G$1)</f>
        <v>│</v>
      </c>
      <c r="AH84" s="21"/>
      <c r="AI84" s="91" t="str">
        <f>IF(AJ$11&gt;$AB$4,"",$BD$2)</f>
        <v>│</v>
      </c>
      <c r="AJ84" s="21"/>
      <c r="AK84" s="26" t="str">
        <f>IF(AL$11&gt;$AB$4,"",Stock!$G$1)</f>
        <v>│</v>
      </c>
      <c r="AL84" s="21"/>
      <c r="AM84" s="89" t="str">
        <f>IF(AN$11&gt;$AB$4,"",$BD$2)</f>
        <v>│</v>
      </c>
      <c r="AN84" s="21"/>
      <c r="AO84" s="26" t="str">
        <f>IF(AP$11&gt;$AB$4,"",Stock!$G$1)</f>
        <v>│</v>
      </c>
      <c r="AP84" s="21"/>
      <c r="AQ84" s="81" t="str">
        <f>IF(AR$11&gt;$AB$4,"",$BD$2)</f>
        <v>│</v>
      </c>
      <c r="AR84" s="21"/>
      <c r="AS84" s="26" t="str">
        <f>IF(AT$11&gt;$AB$4,"",Stock!$G$1)</f>
        <v>│</v>
      </c>
      <c r="AT84" s="21"/>
      <c r="AU84" s="81" t="str">
        <f>IF(AV$11&gt;$AB$4,"",$BD$2)</f>
        <v>│</v>
      </c>
      <c r="AV84" s="21"/>
      <c r="AW84" s="85" t="str">
        <f>IF(AX$11&gt;$AB$4,"",Stock!$G$1)</f>
        <v>│</v>
      </c>
      <c r="AX84" s="21"/>
      <c r="AY84" s="81" t="str">
        <f>IF(AZ$11&gt;$AB$4,"",$BD$2)</f>
        <v>│</v>
      </c>
      <c r="AZ84" s="21"/>
      <c r="BA84" s="26" t="str">
        <f>IF(BB$11&gt;$AB$4,"",Stock!$G$1)</f>
        <v>│</v>
      </c>
      <c r="BB84" s="21"/>
      <c r="BC84" s="81" t="str">
        <f>IF(BD$11&gt;$AB$4,"",$BD$2)</f>
        <v>│</v>
      </c>
      <c r="BD84" s="22"/>
      <c r="BE84" s="71"/>
    </row>
    <row r="85" spans="2:57" x14ac:dyDescent="0.2">
      <c r="B85" s="19"/>
      <c r="C85" s="15"/>
      <c r="D85" s="16" t="s">
        <v>79</v>
      </c>
      <c r="E85" s="16"/>
      <c r="F85" s="16"/>
      <c r="G85" s="16"/>
      <c r="H85" s="16"/>
      <c r="I85" s="16"/>
      <c r="J85" s="16"/>
      <c r="K85" s="16"/>
      <c r="L85" s="16"/>
      <c r="M85" s="17"/>
      <c r="N85" s="17"/>
      <c r="O85" s="17"/>
      <c r="P85" s="17"/>
      <c r="Q85" s="18"/>
      <c r="R85" s="21"/>
      <c r="S85" s="21"/>
      <c r="T85" s="21"/>
      <c r="U85" s="90"/>
      <c r="V85" s="21">
        <f>IF(V$11=$AB$4,MAX(Stock!U84-$AD$4,0),IF(V$11&lt;$AB$4,($AJ$4*(X83-X87)+X87)/$AH$4,""))</f>
        <v>0.26110567266733792</v>
      </c>
      <c r="W85" s="82">
        <f>IF(V$11&lt;$AB$4,280,"")</f>
        <v>280</v>
      </c>
      <c r="X85" s="21"/>
      <c r="Y85" s="90"/>
      <c r="Z85" s="21">
        <f>IF(Z$11=$AB$4,MAX(Stock!Y84-$AD$4,0),IF(Z$11&lt;$AB$4,($AJ$4*(AB83-AB87)+AB87)/$AH$4,""))</f>
        <v>0.14276532105070336</v>
      </c>
      <c r="AA85" s="82">
        <f>IF(Z$11&lt;$AB$4,341,"")</f>
        <v>341</v>
      </c>
      <c r="AB85" s="21"/>
      <c r="AC85" s="90"/>
      <c r="AD85" s="21">
        <f>IF(AD$11=$AB$4,MAX(Stock!AC84-$AD$4,0),IF(AD$11&lt;$AB$4,($AJ$4*(AF83-AF87)+AF87)/$AH$4,""))</f>
        <v>6.1905517316443746E-2</v>
      </c>
      <c r="AE85" s="82">
        <f>IF(AD$11&lt;$AB$4,402,"")</f>
        <v>402</v>
      </c>
      <c r="AF85" s="21"/>
      <c r="AG85" s="90"/>
      <c r="AH85" s="21">
        <f>IF(AH$11=$AB$4,MAX(Stock!AG84-$AD$4,0),IF(AH$11&lt;$AB$4,($AJ$4*(AJ83-AJ87)+AJ87)/$AH$4,""))</f>
        <v>1.6461200603701754E-2</v>
      </c>
      <c r="AI85" s="90">
        <v>463</v>
      </c>
      <c r="AJ85" s="21"/>
      <c r="AK85" s="68"/>
      <c r="AL85" s="21">
        <f>IF(AL$11=$AB$4,MAX(Stock!AK84-$AD$4,0),IF(AL$11&lt;$AB$4,($AJ$4*(AN83-AN87)+AN87)/$AH$4,""))</f>
        <v>0</v>
      </c>
      <c r="AM85" s="82">
        <f>IF(AL$11&lt;$AB$4,524,"")</f>
        <v>524</v>
      </c>
      <c r="AN85" s="21"/>
      <c r="AO85" s="81"/>
      <c r="AP85" s="21">
        <f>IF(AP$11=$AB$4,MAX(Stock!AO84-$AD$4,0),IF(AP$11&lt;$AB$4,($AJ$4*(AR83-AR87)+AR87)/$AH$4,""))</f>
        <v>0</v>
      </c>
      <c r="AQ85" s="82">
        <f>IF(AP$11&lt;$AB$4,585,"")</f>
        <v>585</v>
      </c>
      <c r="AR85" s="21"/>
      <c r="AS85" s="68"/>
      <c r="AT85" s="21">
        <f>IF(AT$11=$AB$4,MAX(Stock!AS84-$AD$4,0),IF(AT$11&lt;$AB$4,($AJ$4*(AV83-AV87)+AV87)/$AH$4,""))</f>
        <v>0</v>
      </c>
      <c r="AU85" s="82">
        <f>IF(AT$11&lt;$AB$4,646,"")</f>
        <v>646</v>
      </c>
      <c r="AV85" s="21"/>
      <c r="AW85" s="83"/>
      <c r="AX85" s="21">
        <f>IF(AX$11=$AB$4,MAX(Stock!AW84-$AD$4,0),IF(AX$11&lt;$AB$4,($AJ$4*(AZ83-AZ87)+AZ87)/$AH$4,""))</f>
        <v>0</v>
      </c>
      <c r="AY85" s="82">
        <f>IF(AX$11&lt;$AB$4,707,"")</f>
        <v>707</v>
      </c>
      <c r="AZ85" s="21"/>
      <c r="BA85" s="68"/>
      <c r="BB85" s="21">
        <f>IF(BB$11=$AB$4,MAX(Stock!BA84-$AD$4,0),IF(BB$11&lt;$AB$4,($AJ$4*(BD83-BD87)+BD87)/$AH$4,""))</f>
        <v>0</v>
      </c>
      <c r="BC85" s="82">
        <f>IF(BB$11&lt;$AB$4,768,"")</f>
        <v>768</v>
      </c>
      <c r="BD85" s="22"/>
      <c r="BE85" s="71"/>
    </row>
    <row r="86" spans="2:57" ht="13.5" x14ac:dyDescent="0.2">
      <c r="B86" s="19"/>
      <c r="C86" s="19"/>
      <c r="D86" s="20" t="s">
        <v>74</v>
      </c>
      <c r="E86" s="20"/>
      <c r="F86" s="20"/>
      <c r="G86" s="20"/>
      <c r="H86" s="145">
        <v>156</v>
      </c>
      <c r="I86" s="20"/>
      <c r="J86" s="20"/>
      <c r="K86" s="20"/>
      <c r="L86" s="20"/>
      <c r="M86" s="21"/>
      <c r="N86" s="21"/>
      <c r="O86" s="21"/>
      <c r="P86" s="21"/>
      <c r="Q86" s="22"/>
      <c r="R86" s="21"/>
      <c r="S86" s="21"/>
      <c r="T86" s="21"/>
      <c r="U86" s="68"/>
      <c r="V86" s="21"/>
      <c r="W86" s="92" t="str">
        <f>IF(X$11&gt;$AB$4,"",Stock!$G$1)</f>
        <v>│</v>
      </c>
      <c r="X86" s="21"/>
      <c r="Y86" s="91" t="str">
        <f>IF(Z$11&gt;$AB$4,"",$BD$2)</f>
        <v>│</v>
      </c>
      <c r="Z86" s="21"/>
      <c r="AA86" s="94" t="str">
        <f>IF(AB$11&gt;$AB$4,"",Stock!$G$1)</f>
        <v>│</v>
      </c>
      <c r="AB86" s="21"/>
      <c r="AC86" s="91" t="str">
        <f>IF(AD$11&gt;$AB$4,"",$BD$2)</f>
        <v>│</v>
      </c>
      <c r="AD86" s="21"/>
      <c r="AE86" s="92" t="str">
        <f>IF(AF$11&gt;$AB$4,"",Stock!$G$1)</f>
        <v>│</v>
      </c>
      <c r="AF86" s="21"/>
      <c r="AG86" s="91" t="str">
        <f>IF(AH$11&gt;$AB$4,"",$BD$2)</f>
        <v>│</v>
      </c>
      <c r="AH86" s="21"/>
      <c r="AI86" s="92" t="str">
        <f>IF(AJ$11&gt;$AB$4,"",Stock!$G$1)</f>
        <v>│</v>
      </c>
      <c r="AJ86" s="21"/>
      <c r="AK86" s="81" t="str">
        <f>IF(AL$11&gt;$AB$4,"",$BD$2)</f>
        <v>│</v>
      </c>
      <c r="AL86" s="21"/>
      <c r="AM86" s="87" t="str">
        <f>IF(AN$11&gt;$AB$4,"",Stock!$G$1)</f>
        <v>│</v>
      </c>
      <c r="AN86" s="21"/>
      <c r="AO86" s="81" t="str">
        <f>IF(AP$11&gt;$AB$4,"",$BD$2)</f>
        <v>│</v>
      </c>
      <c r="AP86" s="21"/>
      <c r="AQ86" s="26" t="str">
        <f>IF(AR$11&gt;$AB$4,"",Stock!$G$1)</f>
        <v>│</v>
      </c>
      <c r="AR86" s="21"/>
      <c r="AS86" s="81" t="str">
        <f>IF(AT$11&gt;$AB$4,"",$BD$2)</f>
        <v>│</v>
      </c>
      <c r="AT86" s="21"/>
      <c r="AU86" s="26" t="str">
        <f>IF(AV$11&gt;$AB$4,"",Stock!$G$1)</f>
        <v>│</v>
      </c>
      <c r="AV86" s="21"/>
      <c r="AW86" s="84" t="str">
        <f>IF(AX$11&gt;$AB$4,"",$BD$2)</f>
        <v>│</v>
      </c>
      <c r="AX86" s="21"/>
      <c r="AY86" s="26" t="str">
        <f>IF(AZ$11&gt;$AB$4,"",Stock!$G$1)</f>
        <v>│</v>
      </c>
      <c r="AZ86" s="21"/>
      <c r="BA86" s="81" t="str">
        <f>IF(BB$11&gt;$AB$4,"",$BD$2)</f>
        <v>│</v>
      </c>
      <c r="BB86" s="21"/>
      <c r="BC86" s="26" t="str">
        <f>IF(BD$11&gt;$AB$4,"",Stock!$G$1)</f>
        <v>│</v>
      </c>
      <c r="BD86" s="22"/>
      <c r="BE86" s="71"/>
    </row>
    <row r="87" spans="2:57" x14ac:dyDescent="0.2">
      <c r="B87" s="19"/>
      <c r="C87" s="19"/>
      <c r="D87" s="20"/>
      <c r="E87" s="20"/>
      <c r="F87" s="20"/>
      <c r="G87" s="20"/>
      <c r="H87" s="20"/>
      <c r="I87" s="20"/>
      <c r="J87" s="20"/>
      <c r="K87" s="20"/>
      <c r="L87" s="21"/>
      <c r="M87" s="21"/>
      <c r="N87" s="21"/>
      <c r="O87" s="21"/>
      <c r="P87" s="21"/>
      <c r="Q87" s="22"/>
      <c r="R87" s="21"/>
      <c r="S87" s="21"/>
      <c r="T87" s="21"/>
      <c r="U87" s="21"/>
      <c r="V87" s="21"/>
      <c r="W87" s="90"/>
      <c r="X87" s="21">
        <f>IF(X$11=$AB$4,MAX(Stock!W86-$AD$4,0),IF(X$11&lt;$AB$4,($AJ$4*(Z85-Z89)+Z89)/$AH$4,""))</f>
        <v>7.9541658012085376E-2</v>
      </c>
      <c r="Y87" s="82">
        <f>IF(X$11&lt;$AB$4,311,"")</f>
        <v>311</v>
      </c>
      <c r="Z87" s="21"/>
      <c r="AA87" s="82"/>
      <c r="AB87" s="21">
        <f>IF(AB$11=$AB$4,MAX(Stock!AA86-$AD$4,0),IF(AB$11&lt;$AB$4,($AJ$4*(AD85-AD89)+AD89)/$AH$4,""))</f>
        <v>3.2762674408677347E-2</v>
      </c>
      <c r="AC87" s="82">
        <f>IF(AB$11&lt;$AB$4,372,"")</f>
        <v>372</v>
      </c>
      <c r="AD87" s="21"/>
      <c r="AE87" s="90"/>
      <c r="AF87" s="21">
        <f>IF(AF$11=$AB$4,MAX(Stock!AE86-$AD$4,0),IF(AF$11&lt;$AB$4,($AJ$4*(AH85-AH89)+AH89)/$AH$4,""))</f>
        <v>8.169528439520431E-3</v>
      </c>
      <c r="AG87" s="90">
        <v>433</v>
      </c>
      <c r="AH87" s="21"/>
      <c r="AI87" s="90"/>
      <c r="AJ87" s="21">
        <f>IF(AJ$11=$AB$4,MAX(Stock!AI86-$AD$4,0),IF(AJ$11&lt;$AB$4,($AJ$4*(AL85-AL89)+AL89)/$AH$4,""))</f>
        <v>0</v>
      </c>
      <c r="AK87" s="82">
        <f>IF(AJ$11&lt;$AB$4,494,"")</f>
        <v>494</v>
      </c>
      <c r="AL87" s="21"/>
      <c r="AM87" s="88"/>
      <c r="AN87" s="21">
        <f>IF(AN$11=$AB$4,MAX(Stock!AM86-$AD$4,0),IF(AN$11&lt;$AB$4,($AJ$4*(AP85-AP89)+AP89)/$AH$4,""))</f>
        <v>0</v>
      </c>
      <c r="AO87" s="82">
        <f>IF(AN$11&lt;$AB$4,555,"")</f>
        <v>555</v>
      </c>
      <c r="AP87" s="21"/>
      <c r="AQ87" s="68"/>
      <c r="AR87" s="21">
        <f>IF(AR$11=$AB$4,MAX(Stock!AQ86-$AD$4,0),IF(AR$11&lt;$AB$4,($AJ$4*(AT85-AT89)+AT89)/$AH$4,""))</f>
        <v>0</v>
      </c>
      <c r="AS87" s="82">
        <f>IF(AR$11&lt;$AB$4,616,"")</f>
        <v>616</v>
      </c>
      <c r="AT87" s="21"/>
      <c r="AU87" s="68"/>
      <c r="AV87" s="21">
        <f>IF(AV$11=$AB$4,MAX(Stock!AU86-$AD$4,0),IF(AV$11&lt;$AB$4,($AJ$4*(AX85-AX89)+AX89)/$AH$4,""))</f>
        <v>0</v>
      </c>
      <c r="AW87" s="82">
        <f>IF(AV$11&lt;$AB$4,677,"")</f>
        <v>677</v>
      </c>
      <c r="AX87" s="21"/>
      <c r="AY87" s="68"/>
      <c r="AZ87" s="21">
        <f>IF(AZ$11=$AB$4,MAX(Stock!AY86-$AD$4,0),IF(AZ$11&lt;$AB$4,($AJ$4*(BB85-BB89)+BB89)/$AH$4,""))</f>
        <v>0</v>
      </c>
      <c r="BA87" s="82">
        <f>IF(AZ$11&lt;$AB$4,738,"")</f>
        <v>738</v>
      </c>
      <c r="BB87" s="21"/>
      <c r="BC87" s="68"/>
      <c r="BD87" s="22">
        <f>IF(BD$11=$AB$4,MAX(Stock!BC86-$AD$4,0),IF(BD$11&lt;$AB$4,($AJ$4*(BE85-BE89)+BE89)/$AH$4,""))</f>
        <v>0</v>
      </c>
      <c r="BE87" s="71"/>
    </row>
    <row r="88" spans="2:57" ht="13.5" x14ac:dyDescent="0.2">
      <c r="B88" s="19"/>
      <c r="C88" s="23"/>
      <c r="D88" s="20"/>
      <c r="E88" s="20"/>
      <c r="F88" s="24">
        <f ca="1">N4</f>
        <v>7.8122709573835483</v>
      </c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2"/>
      <c r="R88" s="21"/>
      <c r="S88" s="21"/>
      <c r="T88" s="21"/>
      <c r="U88" s="21"/>
      <c r="V88" s="21"/>
      <c r="W88" s="21"/>
      <c r="X88" s="21"/>
      <c r="Y88" s="92" t="str">
        <f>IF(Z$11&gt;$AB$4,"",Stock!$G$1)</f>
        <v>│</v>
      </c>
      <c r="Z88" s="21"/>
      <c r="AA88" s="95" t="str">
        <f>IF(AB$11&gt;$AB$4,"",$BD$2)</f>
        <v>│</v>
      </c>
      <c r="AB88" s="21"/>
      <c r="AC88" s="92" t="str">
        <f>IF(AD$11&gt;$AB$4,"",Stock!$G$1)</f>
        <v>│</v>
      </c>
      <c r="AD88" s="21"/>
      <c r="AE88" s="91" t="str">
        <f>IF(AF$11&gt;$AB$4,"",$BD$2)</f>
        <v>│</v>
      </c>
      <c r="AF88" s="21"/>
      <c r="AG88" s="92" t="str">
        <f>IF(AH$11&gt;$AB$4,"",Stock!$G$1)</f>
        <v>│</v>
      </c>
      <c r="AH88" s="21"/>
      <c r="AI88" s="91" t="str">
        <f>IF(AJ$11&gt;$AB$4,"",$BD$2)</f>
        <v>│</v>
      </c>
      <c r="AJ88" s="21"/>
      <c r="AK88" s="26" t="str">
        <f>IF(AL$11&gt;$AB$4,"",Stock!$G$1)</f>
        <v>│</v>
      </c>
      <c r="AL88" s="21"/>
      <c r="AM88" s="89" t="str">
        <f>IF(AN$11&gt;$AB$4,"",$BD$2)</f>
        <v>│</v>
      </c>
      <c r="AN88" s="21"/>
      <c r="AO88" s="26" t="str">
        <f>IF(AP$11&gt;$AB$4,"",Stock!$G$1)</f>
        <v>│</v>
      </c>
      <c r="AP88" s="21"/>
      <c r="AQ88" s="81" t="str">
        <f>IF(AR$11&gt;$AB$4,"",$BD$2)</f>
        <v>│</v>
      </c>
      <c r="AR88" s="21"/>
      <c r="AS88" s="26" t="str">
        <f>IF(AT$11&gt;$AB$4,"",Stock!$G$1)</f>
        <v>│</v>
      </c>
      <c r="AT88" s="21"/>
      <c r="AU88" s="81" t="str">
        <f>IF(AV$11&gt;$AB$4,"",$BD$2)</f>
        <v>│</v>
      </c>
      <c r="AV88" s="21"/>
      <c r="AW88" s="85" t="str">
        <f>IF(AX$11&gt;$AB$4,"",Stock!$G$1)</f>
        <v>│</v>
      </c>
      <c r="AX88" s="21"/>
      <c r="AY88" s="81" t="str">
        <f>IF(AZ$11&gt;$AB$4,"",$BD$2)</f>
        <v>│</v>
      </c>
      <c r="AZ88" s="21"/>
      <c r="BA88" s="26" t="str">
        <f>IF(BB$11&gt;$AB$4,"",Stock!$G$1)</f>
        <v>│</v>
      </c>
      <c r="BB88" s="21"/>
      <c r="BC88" s="81" t="str">
        <f>IF(BD$11&gt;$AB$4,"",$BD$2)</f>
        <v>│</v>
      </c>
      <c r="BD88" s="22"/>
      <c r="BE88" s="71"/>
    </row>
    <row r="89" spans="2:57" ht="14.25" x14ac:dyDescent="0.2">
      <c r="B89" s="19"/>
      <c r="C89" s="23"/>
      <c r="D89" s="20"/>
      <c r="E89" s="25" t="s">
        <v>38</v>
      </c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2"/>
      <c r="R89" s="21"/>
      <c r="S89" s="21"/>
      <c r="T89" s="21"/>
      <c r="U89" s="21"/>
      <c r="V89" s="21"/>
      <c r="W89" s="21"/>
      <c r="X89" s="21"/>
      <c r="Y89" s="90"/>
      <c r="Z89" s="21">
        <f>IF(Z$11=$AB$4,MAX(Stock!Y88-$AD$4,0),IF(Z$11&lt;$AB$4,($AJ$4*(AB87-AB91)+AB91)/$AH$4,""))</f>
        <v>1.7272013230717937E-2</v>
      </c>
      <c r="AA89" s="82">
        <f>IF(Z$11&lt;$AB$4,342,"")</f>
        <v>342</v>
      </c>
      <c r="AB89" s="21"/>
      <c r="AC89" s="90"/>
      <c r="AD89" s="21">
        <f>IF(AD$11=$AB$4,MAX(Stock!AC88-$AD$4,0),IF(AD$11&lt;$AB$4,($AJ$4*(AF87-AF91)+AF91)/$AH$4,""))</f>
        <v>4.0544548682022946E-3</v>
      </c>
      <c r="AE89" s="82">
        <f>IF(AD$11&lt;$AB$4,403,"")</f>
        <v>403</v>
      </c>
      <c r="AF89" s="21"/>
      <c r="AG89" s="90"/>
      <c r="AH89" s="21">
        <f>IF(AH$11=$AB$4,MAX(Stock!AG88-$AD$4,0),IF(AH$11&lt;$AB$4,($AJ$4*(AJ87-AJ91)+AJ91)/$AH$4,""))</f>
        <v>0</v>
      </c>
      <c r="AI89" s="90">
        <v>464</v>
      </c>
      <c r="AJ89" s="21"/>
      <c r="AK89" s="68"/>
      <c r="AL89" s="21">
        <f>IF(AL$11=$AB$4,MAX(Stock!AK88-$AD$4,0),IF(AL$11&lt;$AB$4,($AJ$4*(AN87-AN91)+AN91)/$AH$4,""))</f>
        <v>0</v>
      </c>
      <c r="AM89" s="82">
        <f>IF(AL$11&lt;$AB$4,525,"")</f>
        <v>525</v>
      </c>
      <c r="AN89" s="21"/>
      <c r="AO89" s="81"/>
      <c r="AP89" s="21">
        <f>IF(AP$11=$AB$4,MAX(Stock!AO88-$AD$4,0),IF(AP$11&lt;$AB$4,($AJ$4*(AR87-AR91)+AR91)/$AH$4,""))</f>
        <v>0</v>
      </c>
      <c r="AQ89" s="82">
        <f>IF(AP$11&lt;$AB$4,586,"")</f>
        <v>586</v>
      </c>
      <c r="AR89" s="21"/>
      <c r="AS89" s="68"/>
      <c r="AT89" s="21">
        <f>IF(AT$11=$AB$4,MAX(Stock!AS88-$AD$4,0),IF(AT$11&lt;$AB$4,($AJ$4*(AV87-AV91)+AV91)/$AH$4,""))</f>
        <v>0</v>
      </c>
      <c r="AU89" s="82">
        <f>IF(AT$11&lt;$AB$4,647,"")</f>
        <v>647</v>
      </c>
      <c r="AV89" s="21"/>
      <c r="AW89" s="83"/>
      <c r="AX89" s="21">
        <f>IF(AX$11=$AB$4,MAX(Stock!AW88-$AD$4,0),IF(AX$11&lt;$AB$4,($AJ$4*(AZ87-AZ91)+AZ91)/$AH$4,""))</f>
        <v>0</v>
      </c>
      <c r="AY89" s="82">
        <f>IF(AX$11&lt;$AB$4,708,"")</f>
        <v>708</v>
      </c>
      <c r="AZ89" s="21"/>
      <c r="BA89" s="68"/>
      <c r="BB89" s="21">
        <f>IF(BB$11=$AB$4,MAX(Stock!BA88-$AD$4,0),IF(BB$11&lt;$AB$4,($AJ$4*(BD87-BD91)+BD91)/$AH$4,""))</f>
        <v>0</v>
      </c>
      <c r="BC89" s="82">
        <f>IF(BB$11&lt;$AB$4,769,"")</f>
        <v>769</v>
      </c>
      <c r="BD89" s="22"/>
      <c r="BE89" s="71"/>
    </row>
    <row r="90" spans="2:57" ht="13.5" x14ac:dyDescent="0.2">
      <c r="B90" s="19"/>
      <c r="C90" s="23"/>
      <c r="D90" s="21">
        <f ca="1">J4</f>
        <v>5.3941242064639532</v>
      </c>
      <c r="E90" s="24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2"/>
      <c r="R90" s="21"/>
      <c r="S90" s="21"/>
      <c r="T90" s="21"/>
      <c r="U90" s="21"/>
      <c r="V90" s="21"/>
      <c r="W90" s="21"/>
      <c r="X90" s="21"/>
      <c r="Y90" s="90"/>
      <c r="Z90" s="21"/>
      <c r="AA90" s="94" t="str">
        <f>IF(AB$11&gt;$AB$4,"",Stock!$G$1)</f>
        <v>│</v>
      </c>
      <c r="AB90" s="21"/>
      <c r="AC90" s="91" t="str">
        <f>IF(AD$11&gt;$AB$4,"",$BD$2)</f>
        <v>│</v>
      </c>
      <c r="AD90" s="21"/>
      <c r="AE90" s="92" t="str">
        <f>IF(AF$11&gt;$AB$4,"",Stock!$G$1)</f>
        <v>│</v>
      </c>
      <c r="AF90" s="21"/>
      <c r="AG90" s="91" t="str">
        <f>IF(AH$11&gt;$AB$4,"",$BD$2)</f>
        <v>│</v>
      </c>
      <c r="AH90" s="21"/>
      <c r="AI90" s="92" t="str">
        <f>IF(AJ$11&gt;$AB$4,"",Stock!$G$1)</f>
        <v>│</v>
      </c>
      <c r="AJ90" s="21"/>
      <c r="AK90" s="81" t="str">
        <f>IF(AL$11&gt;$AB$4,"",$BD$2)</f>
        <v>│</v>
      </c>
      <c r="AL90" s="21"/>
      <c r="AM90" s="87" t="str">
        <f>IF(AN$11&gt;$AB$4,"",Stock!$G$1)</f>
        <v>│</v>
      </c>
      <c r="AN90" s="21"/>
      <c r="AO90" s="81" t="str">
        <f>IF(AP$11&gt;$AB$4,"",$BD$2)</f>
        <v>│</v>
      </c>
      <c r="AP90" s="21"/>
      <c r="AQ90" s="26" t="str">
        <f>IF(AR$11&gt;$AB$4,"",Stock!$G$1)</f>
        <v>│</v>
      </c>
      <c r="AR90" s="21"/>
      <c r="AS90" s="81" t="str">
        <f>IF(AT$11&gt;$AB$4,"",$BD$2)</f>
        <v>│</v>
      </c>
      <c r="AT90" s="21"/>
      <c r="AU90" s="26" t="str">
        <f>IF(AV$11&gt;$AB$4,"",Stock!$G$1)</f>
        <v>│</v>
      </c>
      <c r="AV90" s="21"/>
      <c r="AW90" s="84" t="str">
        <f>IF(AX$11&gt;$AB$4,"",$BD$2)</f>
        <v>│</v>
      </c>
      <c r="AX90" s="21"/>
      <c r="AY90" s="26" t="str">
        <f>IF(AZ$11&gt;$AB$4,"",Stock!$G$1)</f>
        <v>│</v>
      </c>
      <c r="AZ90" s="21"/>
      <c r="BA90" s="81" t="str">
        <f>IF(BB$11&gt;$AB$4,"",$BD$2)</f>
        <v>│</v>
      </c>
      <c r="BB90" s="21"/>
      <c r="BC90" s="26" t="str">
        <f>IF(BD$11&gt;$AB$4,"",Stock!$G$1)</f>
        <v>│</v>
      </c>
      <c r="BD90" s="22"/>
      <c r="BE90" s="71"/>
    </row>
    <row r="91" spans="2:57" ht="13.5" x14ac:dyDescent="0.2">
      <c r="B91" s="19"/>
      <c r="C91" s="23"/>
      <c r="D91" s="20"/>
      <c r="E91" s="26" t="str">
        <f>IF(F$16&gt;$AB$5,"",Stock!$G$1)</f>
        <v>│</v>
      </c>
      <c r="F91" s="20"/>
      <c r="G91" s="20"/>
      <c r="H91" s="20"/>
      <c r="I91" s="20"/>
      <c r="J91" s="20"/>
      <c r="K91" s="20"/>
      <c r="L91" s="20"/>
      <c r="M91" s="21"/>
      <c r="N91" s="21"/>
      <c r="O91" s="21"/>
      <c r="P91" s="21"/>
      <c r="Q91" s="22"/>
      <c r="R91" s="21"/>
      <c r="S91" s="21"/>
      <c r="T91" s="21"/>
      <c r="U91" s="21"/>
      <c r="V91" s="21"/>
      <c r="W91" s="21"/>
      <c r="X91" s="21"/>
      <c r="Y91" s="90"/>
      <c r="Z91" s="21"/>
      <c r="AA91" s="82"/>
      <c r="AB91" s="21">
        <f>IF(AB$11=$AB$4,MAX(Stock!AA90-$AD$4,0),IF(AB$11&lt;$AB$4,($AJ$4*(AD89-AD93)+AD93)/$AH$4,""))</f>
        <v>2.0121852075043719E-3</v>
      </c>
      <c r="AC91" s="82">
        <f>IF(AB$11&lt;$AB$4,373,"")</f>
        <v>373</v>
      </c>
      <c r="AD91" s="21"/>
      <c r="AE91" s="90"/>
      <c r="AF91" s="21">
        <f>IF(AF$11=$AB$4,MAX(Stock!AE90-$AD$4,0),IF(AF$11&lt;$AB$4,($AJ$4*(AH89-AH93)+AH93)/$AH$4,""))</f>
        <v>0</v>
      </c>
      <c r="AG91" s="90">
        <v>434</v>
      </c>
      <c r="AH91" s="21"/>
      <c r="AI91" s="90"/>
      <c r="AJ91" s="21">
        <f>IF(AJ$11=$AB$4,MAX(Stock!AI90-$AD$4,0),IF(AJ$11&lt;$AB$4,($AJ$4*(AL89-AL93)+AL93)/$AH$4,""))</f>
        <v>0</v>
      </c>
      <c r="AK91" s="82">
        <f>IF(AJ$11&lt;$AB$4,495,"")</f>
        <v>495</v>
      </c>
      <c r="AL91" s="21"/>
      <c r="AM91" s="88"/>
      <c r="AN91" s="21">
        <f>IF(AN$11=$AB$4,MAX(Stock!AM90-$AD$4,0),IF(AN$11&lt;$AB$4,($AJ$4*(AP89-AP93)+AP93)/$AH$4,""))</f>
        <v>0</v>
      </c>
      <c r="AO91" s="82">
        <f>IF(AN$11&lt;$AB$4,556,"")</f>
        <v>556</v>
      </c>
      <c r="AP91" s="21"/>
      <c r="AQ91" s="68"/>
      <c r="AR91" s="21">
        <f>IF(AR$11=$AB$4,MAX(Stock!AQ90-$AD$4,0),IF(AR$11&lt;$AB$4,($AJ$4*(AT89-AT93)+AT93)/$AH$4,""))</f>
        <v>0</v>
      </c>
      <c r="AS91" s="82">
        <f>IF(AR$11&lt;$AB$4,617,"")</f>
        <v>617</v>
      </c>
      <c r="AT91" s="21"/>
      <c r="AU91" s="68"/>
      <c r="AV91" s="21">
        <f>IF(AV$11=$AB$4,MAX(Stock!AU90-$AD$4,0),IF(AV$11&lt;$AB$4,($AJ$4*(AX89-AX93)+AX93)/$AH$4,""))</f>
        <v>0</v>
      </c>
      <c r="AW91" s="82">
        <f>IF(AV$11&lt;$AB$4,678,"")</f>
        <v>678</v>
      </c>
      <c r="AX91" s="21"/>
      <c r="AY91" s="68"/>
      <c r="AZ91" s="21">
        <f>IF(AZ$11=$AB$4,MAX(Stock!AY90-$AD$4,0),IF(AZ$11&lt;$AB$4,($AJ$4*(BB89-BB93)+BB93)/$AH$4,""))</f>
        <v>0</v>
      </c>
      <c r="BA91" s="82">
        <f>IF(AZ$11&lt;$AB$4,739,"")</f>
        <v>739</v>
      </c>
      <c r="BB91" s="21"/>
      <c r="BC91" s="68"/>
      <c r="BD91" s="22">
        <f>IF(BD$11=$AB$4,MAX(Stock!BC90-$AD$4,0),IF(BD$11&lt;$AB$4,($AJ$4*(BE89-BE93)+BE93)/$AH$4,""))</f>
        <v>0</v>
      </c>
      <c r="BE91" s="71"/>
    </row>
    <row r="92" spans="2:57" ht="13.5" x14ac:dyDescent="0.2">
      <c r="B92" s="19"/>
      <c r="C92" s="23"/>
      <c r="D92" s="20"/>
      <c r="E92" s="20"/>
      <c r="F92" s="24">
        <f ca="1">R4</f>
        <v>3.0155581965851916</v>
      </c>
      <c r="G92" s="20"/>
      <c r="H92" s="20"/>
      <c r="I92" s="20"/>
      <c r="J92" s="20"/>
      <c r="K92" s="20"/>
      <c r="L92" s="20"/>
      <c r="M92" s="21"/>
      <c r="N92" s="21"/>
      <c r="O92" s="21"/>
      <c r="P92" s="21"/>
      <c r="Q92" s="22"/>
      <c r="R92" s="21"/>
      <c r="S92" s="21"/>
      <c r="T92" s="21"/>
      <c r="U92" s="21"/>
      <c r="V92" s="21"/>
      <c r="W92" s="21"/>
      <c r="X92" s="21"/>
      <c r="Y92" s="21"/>
      <c r="Z92" s="21"/>
      <c r="AA92" s="105"/>
      <c r="AB92" s="21"/>
      <c r="AC92" s="26" t="str">
        <f>IF(AD$11&gt;$AB$4,"",Stock!$G$1)</f>
        <v>│</v>
      </c>
      <c r="AD92" s="21"/>
      <c r="AE92" s="91" t="str">
        <f>IF(AF$11&gt;$AB$4,"",$BD$2)</f>
        <v>│</v>
      </c>
      <c r="AF92" s="21"/>
      <c r="AG92" s="92" t="str">
        <f>IF(AH$11&gt;$AB$4,"",Stock!$G$1)</f>
        <v>│</v>
      </c>
      <c r="AH92" s="21"/>
      <c r="AI92" s="91" t="str">
        <f>IF(AJ$11&gt;$AB$4,"",$BD$2)</f>
        <v>│</v>
      </c>
      <c r="AJ92" s="21"/>
      <c r="AK92" s="26" t="str">
        <f>IF(AL$11&gt;$AB$4,"",Stock!$G$1)</f>
        <v>│</v>
      </c>
      <c r="AL92" s="21"/>
      <c r="AM92" s="89" t="str">
        <f>IF(AN$11&gt;$AB$4,"",$BD$2)</f>
        <v>│</v>
      </c>
      <c r="AN92" s="21"/>
      <c r="AO92" s="26" t="str">
        <f>IF(AP$11&gt;$AB$4,"",Stock!$G$1)</f>
        <v>│</v>
      </c>
      <c r="AP92" s="21"/>
      <c r="AQ92" s="81" t="str">
        <f>IF(AR$11&gt;$AB$4,"",$BD$2)</f>
        <v>│</v>
      </c>
      <c r="AR92" s="21"/>
      <c r="AS92" s="26" t="str">
        <f>IF(AT$11&gt;$AB$4,"",Stock!$G$1)</f>
        <v>│</v>
      </c>
      <c r="AT92" s="21"/>
      <c r="AU92" s="81" t="str">
        <f>IF(AV$11&gt;$AB$4,"",$BD$2)</f>
        <v>│</v>
      </c>
      <c r="AV92" s="21"/>
      <c r="AW92" s="85" t="str">
        <f>IF(AX$11&gt;$AB$4,"",Stock!$G$1)</f>
        <v>│</v>
      </c>
      <c r="AX92" s="21"/>
      <c r="AY92" s="81" t="str">
        <f>IF(AZ$11&gt;$AB$4,"",$BD$2)</f>
        <v>│</v>
      </c>
      <c r="AZ92" s="21"/>
      <c r="BA92" s="26" t="str">
        <f>IF(BB$11&gt;$AB$4,"",Stock!$G$1)</f>
        <v>│</v>
      </c>
      <c r="BB92" s="21"/>
      <c r="BC92" s="81" t="str">
        <f>IF(BD$11&gt;$AB$4,"",$BD$2)</f>
        <v>│</v>
      </c>
      <c r="BD92" s="22"/>
      <c r="BE92" s="71"/>
    </row>
    <row r="93" spans="2:57" x14ac:dyDescent="0.2">
      <c r="B93" s="19"/>
      <c r="C93" s="23"/>
      <c r="D93" s="20"/>
      <c r="E93" s="20"/>
      <c r="F93" s="20"/>
      <c r="G93" s="20"/>
      <c r="H93" s="20"/>
      <c r="I93" s="20"/>
      <c r="J93" s="20"/>
      <c r="K93" s="20"/>
      <c r="L93" s="20"/>
      <c r="M93" s="21"/>
      <c r="N93" s="21"/>
      <c r="O93" s="21"/>
      <c r="P93" s="21"/>
      <c r="Q93" s="22"/>
      <c r="R93" s="21"/>
      <c r="S93" s="21"/>
      <c r="T93" s="21"/>
      <c r="U93" s="21"/>
      <c r="V93" s="21"/>
      <c r="W93" s="21"/>
      <c r="X93" s="21"/>
      <c r="Y93" s="21"/>
      <c r="Z93" s="21"/>
      <c r="AA93" s="105"/>
      <c r="AB93" s="21"/>
      <c r="AC93" s="68"/>
      <c r="AD93" s="21">
        <f>IF(AD$11=$AB$4,MAX(Stock!AC92-$AD$4,0),IF(AD$11&lt;$AB$4,($AJ$4*(AF91-AF95)+AF95)/$AH$4,""))</f>
        <v>0</v>
      </c>
      <c r="AE93" s="82">
        <f>IF(AD$11&lt;$AB$4,404,"")</f>
        <v>404</v>
      </c>
      <c r="AF93" s="21"/>
      <c r="AG93" s="90"/>
      <c r="AH93" s="21">
        <f>IF(AH$11=$AB$4,MAX(Stock!AG92-$AD$4,0),IF(AH$11&lt;$AB$4,($AJ$4*(AJ91-AJ95)+AJ95)/$AH$4,""))</f>
        <v>0</v>
      </c>
      <c r="AI93" s="90">
        <v>465</v>
      </c>
      <c r="AJ93" s="21"/>
      <c r="AK93" s="68"/>
      <c r="AL93" s="21">
        <f>IF(AL$11=$AB$4,MAX(Stock!AK92-$AD$4,0),IF(AL$11&lt;$AB$4,($AJ$4*(AN91-AN95)+AN95)/$AH$4,""))</f>
        <v>0</v>
      </c>
      <c r="AM93" s="82">
        <f>IF(AL$11&lt;$AB$4,526,"")</f>
        <v>526</v>
      </c>
      <c r="AN93" s="21"/>
      <c r="AO93" s="81"/>
      <c r="AP93" s="21">
        <f>IF(AP$11=$AB$4,MAX(Stock!AO92-$AD$4,0),IF(AP$11&lt;$AB$4,($AJ$4*(AR91-AR95)+AR95)/$AH$4,""))</f>
        <v>0</v>
      </c>
      <c r="AQ93" s="82">
        <f>IF(AP$11&lt;$AB$4,587,"")</f>
        <v>587</v>
      </c>
      <c r="AR93" s="21"/>
      <c r="AS93" s="26"/>
      <c r="AT93" s="21">
        <f>IF(AT$11=$AB$4,MAX(Stock!AS92-$AD$4,0),IF(AT$11&lt;$AB$4,($AJ$4*(AV91-AV95)+AV95)/$AH$4,""))</f>
        <v>0</v>
      </c>
      <c r="AU93" s="82">
        <f>IF(AT$11&lt;$AB$4,648,"")</f>
        <v>648</v>
      </c>
      <c r="AV93" s="21"/>
      <c r="AW93" s="83"/>
      <c r="AX93" s="21">
        <f>IF(AX$11=$AB$4,MAX(Stock!AW92-$AD$4,0),IF(AX$11&lt;$AB$4,($AJ$4*(AZ91-AZ95)+AZ95)/$AH$4,""))</f>
        <v>0</v>
      </c>
      <c r="AY93" s="82">
        <f>IF(AX$11&lt;$AB$4,709,"")</f>
        <v>709</v>
      </c>
      <c r="AZ93" s="21"/>
      <c r="BA93" s="68"/>
      <c r="BB93" s="21">
        <f>IF(BB$11=$AB$4,MAX(Stock!BA92-$AD$4,0),IF(BB$11&lt;$AB$4,($AJ$4*(BD91-BD95)+BD95)/$AH$4,""))</f>
        <v>0</v>
      </c>
      <c r="BC93" s="82">
        <f>IF(BB$11&lt;$AB$4,770,"")</f>
        <v>770</v>
      </c>
      <c r="BD93" s="22"/>
      <c r="BE93" s="71"/>
    </row>
    <row r="94" spans="2:57" ht="13.5" x14ac:dyDescent="0.2">
      <c r="B94" s="19"/>
      <c r="C94" s="23"/>
      <c r="D94" s="20" t="s">
        <v>61</v>
      </c>
      <c r="E94" s="20"/>
      <c r="F94" s="20"/>
      <c r="G94" s="20"/>
      <c r="H94" s="20"/>
      <c r="I94" s="20"/>
      <c r="J94" s="20"/>
      <c r="K94" s="20"/>
      <c r="L94" s="20"/>
      <c r="M94" s="21"/>
      <c r="N94" s="21"/>
      <c r="O94" s="21"/>
      <c r="P94" s="21"/>
      <c r="Q94" s="22"/>
      <c r="R94" s="21"/>
      <c r="S94" s="21"/>
      <c r="T94" s="21"/>
      <c r="U94" s="21"/>
      <c r="V94" s="21"/>
      <c r="W94" s="21"/>
      <c r="X94" s="21"/>
      <c r="Y94" s="21"/>
      <c r="Z94" s="21"/>
      <c r="AA94" s="105"/>
      <c r="AB94" s="21"/>
      <c r="AC94" s="68"/>
      <c r="AD94" s="21"/>
      <c r="AE94" s="92" t="str">
        <f>IF(AF$11&gt;$AB$4,"",Stock!$G$1)</f>
        <v>│</v>
      </c>
      <c r="AF94" s="21"/>
      <c r="AG94" s="91" t="str">
        <f>IF(AH$11&gt;$AB$4,"",$BD$2)</f>
        <v>│</v>
      </c>
      <c r="AH94" s="21"/>
      <c r="AI94" s="92" t="str">
        <f>IF(AJ$11&gt;$AB$4,"",Stock!$G$1)</f>
        <v>│</v>
      </c>
      <c r="AJ94" s="21"/>
      <c r="AK94" s="81" t="str">
        <f>IF(AL$11&gt;$AB$4,"",$BD$2)</f>
        <v>│</v>
      </c>
      <c r="AL94" s="21"/>
      <c r="AM94" s="87" t="str">
        <f>IF(AN$11&gt;$AB$4,"",Stock!$G$1)</f>
        <v>│</v>
      </c>
      <c r="AN94" s="21"/>
      <c r="AO94" s="81" t="str">
        <f>IF(AP$11&gt;$AB$4,"",$BD$2)</f>
        <v>│</v>
      </c>
      <c r="AP94" s="21"/>
      <c r="AQ94" s="26" t="str">
        <f>IF(AR$11&gt;$AB$4,"",Stock!$G$1)</f>
        <v>│</v>
      </c>
      <c r="AR94" s="21"/>
      <c r="AS94" s="81" t="str">
        <f>IF(AT$11&gt;$AB$4,"",$BD$2)</f>
        <v>│</v>
      </c>
      <c r="AT94" s="21"/>
      <c r="AU94" s="26" t="str">
        <f>IF(AV$11&gt;$AB$4,"",Stock!$G$1)</f>
        <v>│</v>
      </c>
      <c r="AV94" s="21"/>
      <c r="AW94" s="84" t="str">
        <f>IF(AX$11&gt;$AB$4,"",$BD$2)</f>
        <v>│</v>
      </c>
      <c r="AX94" s="21"/>
      <c r="AY94" s="26" t="str">
        <f>IF(AZ$11&gt;$AB$4,"",Stock!$G$1)</f>
        <v>│</v>
      </c>
      <c r="AZ94" s="21"/>
      <c r="BA94" s="81" t="str">
        <f>IF(BB$11&gt;$AB$4,"",$BD$2)</f>
        <v>│</v>
      </c>
      <c r="BB94" s="21"/>
      <c r="BC94" s="26" t="str">
        <f>IF(BD$11&gt;$AB$4,"",Stock!$G$1)</f>
        <v>│</v>
      </c>
      <c r="BD94" s="22"/>
      <c r="BE94" s="71"/>
    </row>
    <row r="95" spans="2:57" x14ac:dyDescent="0.2">
      <c r="B95" s="19"/>
      <c r="C95" s="23"/>
      <c r="D95" s="20"/>
      <c r="E95" s="20"/>
      <c r="F95" s="20"/>
      <c r="G95" s="20"/>
      <c r="H95" s="20"/>
      <c r="I95" s="20"/>
      <c r="J95" s="20"/>
      <c r="K95" s="20"/>
      <c r="L95" s="20"/>
      <c r="M95" s="21"/>
      <c r="N95" s="21"/>
      <c r="O95" s="21"/>
      <c r="P95" s="21"/>
      <c r="Q95" s="22"/>
      <c r="R95" s="21"/>
      <c r="S95" s="21"/>
      <c r="T95" s="21"/>
      <c r="U95" s="21"/>
      <c r="V95" s="21"/>
      <c r="W95" s="21"/>
      <c r="X95" s="21"/>
      <c r="Y95" s="21"/>
      <c r="Z95" s="21"/>
      <c r="AA95" s="105"/>
      <c r="AB95" s="21"/>
      <c r="AC95" s="21"/>
      <c r="AD95" s="21"/>
      <c r="AE95" s="88"/>
      <c r="AF95" s="21">
        <f>IF(AF$11=$AB$4,MAX(Stock!AE94-$AD$4,0),IF(AF$11&lt;$AB$4,($AJ$4*(AH93-AH97)+AH97)/$AH$4,""))</f>
        <v>0</v>
      </c>
      <c r="AG95" s="90">
        <v>435</v>
      </c>
      <c r="AH95" s="21"/>
      <c r="AI95" s="90"/>
      <c r="AJ95" s="21">
        <f>IF(AJ$11=$AB$4,MAX(Stock!AI94-$AD$4,0),IF(AJ$11&lt;$AB$4,($AJ$4*(AL93-AL97)+AL97)/$AH$4,""))</f>
        <v>0</v>
      </c>
      <c r="AK95" s="82">
        <f>IF(AJ$11&lt;$AB$4,496,"")</f>
        <v>496</v>
      </c>
      <c r="AL95" s="21"/>
      <c r="AM95" s="88"/>
      <c r="AN95" s="21">
        <f>IF(AN$11=$AB$4,MAX(Stock!AM94-$AD$4,0),IF(AN$11&lt;$AB$4,($AJ$4*(AP93-AP97)+AP97)/$AH$4,""))</f>
        <v>0</v>
      </c>
      <c r="AO95" s="82">
        <f>IF(AN$11&lt;$AB$4,557,"")</f>
        <v>557</v>
      </c>
      <c r="AP95" s="21"/>
      <c r="AQ95" s="68"/>
      <c r="AR95" s="21">
        <f>IF(AR$11=$AB$4,MAX(Stock!AQ94-$AD$4,0),IF(AR$11&lt;$AB$4,($AJ$4*(AT93-AT97)+AT97)/$AH$4,""))</f>
        <v>0</v>
      </c>
      <c r="AS95" s="82">
        <f>IF(AR$11&lt;$AB$4,618,"")</f>
        <v>618</v>
      </c>
      <c r="AT95" s="21"/>
      <c r="AU95" s="68"/>
      <c r="AV95" s="21">
        <f>IF(AV$11=$AB$4,MAX(Stock!AU94-$AD$4,0),IF(AV$11&lt;$AB$4,($AJ$4*(AX93-AX97)+AX97)/$AH$4,""))</f>
        <v>0</v>
      </c>
      <c r="AW95" s="82">
        <f>IF(AV$11&lt;$AB$4,679,"")</f>
        <v>679</v>
      </c>
      <c r="AX95" s="21"/>
      <c r="AY95" s="68"/>
      <c r="AZ95" s="21">
        <f>IF(AZ$11=$AB$4,MAX(Stock!AY94-$AD$4,0),IF(AZ$11&lt;$AB$4,($AJ$4*(BB93-BB97)+BB97)/$AH$4,""))</f>
        <v>0</v>
      </c>
      <c r="BA95" s="82">
        <f>IF(AZ$11&lt;$AB$4,740,"")</f>
        <v>740</v>
      </c>
      <c r="BB95" s="21"/>
      <c r="BC95" s="68"/>
      <c r="BD95" s="22">
        <f>IF(BD$11=$AB$4,MAX(Stock!BC94-$AD$4,0),IF(BD$11&lt;$AB$4,($AJ$4*(BE93-BE97)+BE97)/$AH$4,""))</f>
        <v>0</v>
      </c>
      <c r="BE95" s="71"/>
    </row>
    <row r="96" spans="2:57" ht="13.5" x14ac:dyDescent="0.2">
      <c r="B96" s="19"/>
      <c r="C96" s="23"/>
      <c r="D96" s="38" t="s">
        <v>71</v>
      </c>
      <c r="E96" s="38"/>
      <c r="F96" s="38"/>
      <c r="G96" s="38"/>
      <c r="H96" s="38"/>
      <c r="I96" s="20"/>
      <c r="J96" s="20"/>
      <c r="K96" s="20"/>
      <c r="L96" s="20"/>
      <c r="M96" s="21"/>
      <c r="N96" s="21"/>
      <c r="O96" s="21"/>
      <c r="P96" s="21"/>
      <c r="Q96" s="22"/>
      <c r="R96" s="21"/>
      <c r="S96" s="21"/>
      <c r="T96" s="21"/>
      <c r="U96" s="21"/>
      <c r="V96" s="21"/>
      <c r="W96" s="21"/>
      <c r="X96" s="21"/>
      <c r="Y96" s="21"/>
      <c r="Z96" s="21"/>
      <c r="AA96" s="105"/>
      <c r="AB96" s="21"/>
      <c r="AC96" s="21"/>
      <c r="AD96" s="21"/>
      <c r="AE96" s="25"/>
      <c r="AF96" s="21"/>
      <c r="AG96" s="26" t="str">
        <f>IF(AH$11&gt;$AB$4,"",Stock!$G$1)</f>
        <v>│</v>
      </c>
      <c r="AH96" s="21"/>
      <c r="AI96" s="91" t="str">
        <f>IF(AJ$11&gt;$AB$4,"",$BD$2)</f>
        <v>│</v>
      </c>
      <c r="AJ96" s="21"/>
      <c r="AK96" s="26" t="str">
        <f>IF(AL$11&gt;$AB$4,"",Stock!$G$1)</f>
        <v>│</v>
      </c>
      <c r="AL96" s="21"/>
      <c r="AM96" s="89" t="str">
        <f>IF(AN$11&gt;$AB$4,"",$BD$2)</f>
        <v>│</v>
      </c>
      <c r="AN96" s="21"/>
      <c r="AO96" s="26" t="str">
        <f>IF(AP$11&gt;$AB$4,"",Stock!$G$1)</f>
        <v>│</v>
      </c>
      <c r="AP96" s="21"/>
      <c r="AQ96" s="81" t="str">
        <f>IF(AR$11&gt;$AB$4,"",$BD$2)</f>
        <v>│</v>
      </c>
      <c r="AR96" s="21"/>
      <c r="AS96" s="26" t="str">
        <f>IF(AT$11&gt;$AB$4,"",Stock!$G$1)</f>
        <v>│</v>
      </c>
      <c r="AT96" s="21"/>
      <c r="AU96" s="81" t="str">
        <f>IF(AV$11&gt;$AB$4,"",$BD$2)</f>
        <v>│</v>
      </c>
      <c r="AV96" s="21"/>
      <c r="AW96" s="85" t="str">
        <f>IF(AX$11&gt;$AB$4,"",Stock!$G$1)</f>
        <v>│</v>
      </c>
      <c r="AX96" s="21"/>
      <c r="AY96" s="81" t="str">
        <f>IF(AZ$11&gt;$AB$4,"",$BD$2)</f>
        <v>│</v>
      </c>
      <c r="AZ96" s="21"/>
      <c r="BA96" s="26" t="str">
        <f>IF(BB$11&gt;$AB$4,"",Stock!$G$1)</f>
        <v>│</v>
      </c>
      <c r="BB96" s="21"/>
      <c r="BC96" s="81" t="str">
        <f>IF(BD$11&gt;$AB$4,"",$BD$2)</f>
        <v>│</v>
      </c>
      <c r="BD96" s="22"/>
      <c r="BE96" s="71"/>
    </row>
    <row r="97" spans="2:57" x14ac:dyDescent="0.2">
      <c r="B97" s="19"/>
      <c r="C97" s="23"/>
      <c r="D97" s="20" t="s">
        <v>62</v>
      </c>
      <c r="E97" s="20"/>
      <c r="F97" s="20"/>
      <c r="G97" s="20"/>
      <c r="H97" s="20"/>
      <c r="I97" s="20"/>
      <c r="J97" s="20"/>
      <c r="K97" s="20"/>
      <c r="L97" s="20"/>
      <c r="M97" s="21"/>
      <c r="N97" s="21"/>
      <c r="O97" s="21"/>
      <c r="P97" s="21"/>
      <c r="Q97" s="22"/>
      <c r="R97" s="21"/>
      <c r="S97" s="21"/>
      <c r="T97" s="21"/>
      <c r="U97" s="21"/>
      <c r="V97" s="21"/>
      <c r="W97" s="21"/>
      <c r="X97" s="21"/>
      <c r="Y97" s="21"/>
      <c r="Z97" s="21"/>
      <c r="AA97" s="105"/>
      <c r="AB97" s="21"/>
      <c r="AC97" s="21"/>
      <c r="AD97" s="21"/>
      <c r="AE97" s="21"/>
      <c r="AF97" s="21"/>
      <c r="AG97" s="68"/>
      <c r="AH97" s="21">
        <f>IF(AH$11=$AB$4,MAX(Stock!AG96-$AD$4,0),IF(AH$11&lt;$AB$4,($AJ$4*(AJ95-AJ99)+AJ99)/$AH$4,""))</f>
        <v>0</v>
      </c>
      <c r="AI97" s="90">
        <v>466</v>
      </c>
      <c r="AJ97" s="21"/>
      <c r="AK97" s="68"/>
      <c r="AL97" s="21">
        <f>IF(AL$11=$AB$4,MAX(Stock!AK96-$AD$4,0),IF(AL$11&lt;$AB$4,($AJ$4*(AN95-AN99)+AN99)/$AH$4,""))</f>
        <v>0</v>
      </c>
      <c r="AM97" s="82">
        <f>IF(AL$11&lt;$AB$4,527,"")</f>
        <v>527</v>
      </c>
      <c r="AN97" s="21"/>
      <c r="AO97" s="81"/>
      <c r="AP97" s="21">
        <f>IF(AP$11=$AB$4,MAX(Stock!AO96-$AD$4,0),IF(AP$11&lt;$AB$4,($AJ$4*(AR95-AR99)+AR99)/$AH$4,""))</f>
        <v>0</v>
      </c>
      <c r="AQ97" s="82">
        <f>IF(AP$11&lt;$AB$4,588,"")</f>
        <v>588</v>
      </c>
      <c r="AR97" s="21"/>
      <c r="AS97" s="68"/>
      <c r="AT97" s="21">
        <f>IF(AT$11=$AB$4,MAX(Stock!AS96-$AD$4,0),IF(AT$11&lt;$AB$4,($AJ$4*(AV95-AV99)+AV99)/$AH$4,""))</f>
        <v>0</v>
      </c>
      <c r="AU97" s="82">
        <f>IF(AT$11&lt;$AB$4,649,"")</f>
        <v>649</v>
      </c>
      <c r="AV97" s="21"/>
      <c r="AW97" s="83"/>
      <c r="AX97" s="21">
        <f>IF(AX$11=$AB$4,MAX(Stock!AW96-$AD$4,0),IF(AX$11&lt;$AB$4,($AJ$4*(AZ95-AZ99)+AZ99)/$AH$4,""))</f>
        <v>0</v>
      </c>
      <c r="AY97" s="82">
        <f>IF(AX$11&lt;$AB$4,710,"")</f>
        <v>710</v>
      </c>
      <c r="AZ97" s="21"/>
      <c r="BA97" s="68"/>
      <c r="BB97" s="21">
        <f>IF(BB$11=$AB$4,MAX(Stock!BA96-$AD$4,0),IF(BB$11&lt;$AB$4,($AJ$4*(BD95-BD99)+BD99)/$AH$4,""))</f>
        <v>0</v>
      </c>
      <c r="BC97" s="82">
        <f>IF(BB$11&lt;$AB$4,771,"")</f>
        <v>771</v>
      </c>
      <c r="BD97" s="22"/>
      <c r="BE97" s="71"/>
    </row>
    <row r="98" spans="2:57" ht="13.5" x14ac:dyDescent="0.2">
      <c r="B98" s="19"/>
      <c r="C98" s="23"/>
      <c r="D98" s="20" t="s">
        <v>63</v>
      </c>
      <c r="E98" s="20"/>
      <c r="F98" s="20"/>
      <c r="G98" s="20"/>
      <c r="H98" s="20"/>
      <c r="I98" s="20"/>
      <c r="J98" s="20"/>
      <c r="K98" s="20"/>
      <c r="L98" s="20"/>
      <c r="M98" s="21"/>
      <c r="N98" s="21"/>
      <c r="O98" s="21"/>
      <c r="P98" s="21"/>
      <c r="Q98" s="22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68"/>
      <c r="AH98" s="21"/>
      <c r="AI98" s="92" t="str">
        <f>IF(AJ$11&gt;$AB$4,"",Stock!$G$1)</f>
        <v>│</v>
      </c>
      <c r="AJ98" s="21"/>
      <c r="AK98" s="81" t="str">
        <f>IF(AL$11&gt;$AB$4,"",$BD$2)</f>
        <v>│</v>
      </c>
      <c r="AL98" s="21"/>
      <c r="AM98" s="87" t="str">
        <f>IF(AN$11&gt;$AB$4,"",Stock!$G$1)</f>
        <v>│</v>
      </c>
      <c r="AN98" s="21"/>
      <c r="AO98" s="81" t="str">
        <f>IF(AP$11&gt;$AB$4,"",$BD$2)</f>
        <v>│</v>
      </c>
      <c r="AP98" s="21"/>
      <c r="AQ98" s="26" t="str">
        <f>IF(AR$11&gt;$AB$4,"",Stock!$G$1)</f>
        <v>│</v>
      </c>
      <c r="AR98" s="21"/>
      <c r="AS98" s="81" t="str">
        <f>IF(AT$11&gt;$AB$4,"",$BD$2)</f>
        <v>│</v>
      </c>
      <c r="AT98" s="21"/>
      <c r="AU98" s="26" t="str">
        <f>IF(AV$11&gt;$AB$4,"",Stock!$G$1)</f>
        <v>│</v>
      </c>
      <c r="AV98" s="21"/>
      <c r="AW98" s="84" t="str">
        <f>IF(AX$11&gt;$AB$4,"",$BD$2)</f>
        <v>│</v>
      </c>
      <c r="AX98" s="21"/>
      <c r="AY98" s="26" t="str">
        <f>IF(AZ$11&gt;$AB$4,"",Stock!$G$1)</f>
        <v>│</v>
      </c>
      <c r="AZ98" s="21"/>
      <c r="BA98" s="81" t="str">
        <f>IF(BB$11&gt;$AB$4,"",$BD$2)</f>
        <v>│</v>
      </c>
      <c r="BB98" s="21"/>
      <c r="BC98" s="26" t="str">
        <f>IF(BD$11&gt;$AB$4,"",Stock!$G$1)</f>
        <v>│</v>
      </c>
      <c r="BD98" s="22"/>
      <c r="BE98" s="71"/>
    </row>
    <row r="99" spans="2:57" x14ac:dyDescent="0.2">
      <c r="B99" s="19"/>
      <c r="C99" s="23"/>
      <c r="D99" s="109" t="s">
        <v>85</v>
      </c>
      <c r="E99" s="20"/>
      <c r="F99" s="20"/>
      <c r="G99" s="20"/>
      <c r="H99" s="20"/>
      <c r="I99" s="20"/>
      <c r="J99" s="20"/>
      <c r="K99" s="20"/>
      <c r="L99" s="20"/>
      <c r="M99" s="21"/>
      <c r="N99" s="21"/>
      <c r="O99" s="21"/>
      <c r="P99" s="21"/>
      <c r="Q99" s="22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68"/>
      <c r="AH99" s="21"/>
      <c r="AI99" s="90"/>
      <c r="AJ99" s="21">
        <f>IF(AJ$11=$AB$4,MAX(Stock!AI98-$AD$4,0),IF(AJ$11&lt;$AB$4,($AJ$4*(AL97-AL101)+AL101)/$AH$4,""))</f>
        <v>0</v>
      </c>
      <c r="AK99" s="82">
        <f>IF(AJ$11&lt;$AB$4,497,"")</f>
        <v>497</v>
      </c>
      <c r="AL99" s="21"/>
      <c r="AM99" s="88"/>
      <c r="AN99" s="21">
        <f>IF(AN$11=$AB$4,MAX(Stock!AM98-$AD$4,0),IF(AN$11&lt;$AB$4,($AJ$4*(AP97-AP101)+AP101)/$AH$4,""))</f>
        <v>0</v>
      </c>
      <c r="AO99" s="82">
        <f>IF(AN$11&lt;$AB$4,558,"")</f>
        <v>558</v>
      </c>
      <c r="AP99" s="21"/>
      <c r="AQ99" s="68"/>
      <c r="AR99" s="21">
        <f>IF(AR$11=$AB$4,MAX(Stock!AQ98-$AD$4,0),IF(AR$11&lt;$AB$4,($AJ$4*(AT97-AT101)+AT101)/$AH$4,""))</f>
        <v>0</v>
      </c>
      <c r="AS99" s="82">
        <f>IF(AR$11&lt;$AB$4,619,"")</f>
        <v>619</v>
      </c>
      <c r="AT99" s="21"/>
      <c r="AU99" s="68"/>
      <c r="AV99" s="21">
        <f>IF(AV$11=$AB$4,MAX(Stock!AU98-$AD$4,0),IF(AV$11&lt;$AB$4,($AJ$4*(AX97-AX101)+AX101)/$AH$4,""))</f>
        <v>0</v>
      </c>
      <c r="AW99" s="82">
        <f>IF(AV$11&lt;$AB$4,680,"")</f>
        <v>680</v>
      </c>
      <c r="AX99" s="21"/>
      <c r="AY99" s="68"/>
      <c r="AZ99" s="21">
        <f>IF(AZ$11=$AB$4,MAX(Stock!AY98-$AD$4,0),IF(AZ$11&lt;$AB$4,($AJ$4*(BB97-BB101)+BB101)/$AH$4,""))</f>
        <v>0</v>
      </c>
      <c r="BA99" s="82">
        <f>IF(AZ$11&lt;$AB$4,741,"")</f>
        <v>741</v>
      </c>
      <c r="BB99" s="21"/>
      <c r="BC99" s="68"/>
      <c r="BD99" s="22">
        <f>IF(BD$11=$AB$4,MAX(Stock!BC98-$AD$4,0),IF(BD$11&lt;$AB$4,($AJ$4*(BE97-BE101)+BE101)/$AH$4,""))</f>
        <v>0</v>
      </c>
      <c r="BE99" s="71"/>
    </row>
    <row r="100" spans="2:57" ht="13.5" x14ac:dyDescent="0.2">
      <c r="B100" s="19"/>
      <c r="C100" s="23"/>
      <c r="D100" s="20" t="s">
        <v>64</v>
      </c>
      <c r="E100" s="20"/>
      <c r="F100" s="20"/>
      <c r="G100" s="20"/>
      <c r="H100" s="20"/>
      <c r="I100" s="20"/>
      <c r="J100" s="20"/>
      <c r="K100" s="20"/>
      <c r="L100" s="20"/>
      <c r="M100" s="21"/>
      <c r="N100" s="21"/>
      <c r="O100" s="21"/>
      <c r="P100" s="21"/>
      <c r="Q100" s="22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91"/>
      <c r="AJ100" s="21"/>
      <c r="AK100" s="26" t="str">
        <f>IF(AL$11&gt;$AB$4,"",Stock!$G$1)</f>
        <v>│</v>
      </c>
      <c r="AL100" s="21"/>
      <c r="AM100" s="89" t="str">
        <f>IF(AN$11&gt;$AB$4,"",$BD$2)</f>
        <v>│</v>
      </c>
      <c r="AN100" s="21"/>
      <c r="AO100" s="26" t="str">
        <f>IF(AP$11&gt;$AB$4,"",Stock!$G$1)</f>
        <v>│</v>
      </c>
      <c r="AP100" s="21"/>
      <c r="AQ100" s="81" t="str">
        <f>IF(AR$11&gt;$AB$4,"",$BD$2)</f>
        <v>│</v>
      </c>
      <c r="AR100" s="21"/>
      <c r="AS100" s="26" t="str">
        <f>IF(AT$11&gt;$AB$4,"",Stock!$G$1)</f>
        <v>│</v>
      </c>
      <c r="AT100" s="21"/>
      <c r="AU100" s="81" t="str">
        <f>IF(AV$11&gt;$AB$4,"",$BD$2)</f>
        <v>│</v>
      </c>
      <c r="AV100" s="21"/>
      <c r="AW100" s="85" t="str">
        <f>IF(AX$11&gt;$AB$4,"",Stock!$G$1)</f>
        <v>│</v>
      </c>
      <c r="AX100" s="21"/>
      <c r="AY100" s="81" t="str">
        <f>IF(AZ$11&gt;$AB$4,"",$BD$2)</f>
        <v>│</v>
      </c>
      <c r="AZ100" s="21"/>
      <c r="BA100" s="26" t="str">
        <f>IF(BB$11&gt;$AB$4,"",Stock!$G$1)</f>
        <v>│</v>
      </c>
      <c r="BB100" s="21"/>
      <c r="BC100" s="81" t="str">
        <f>IF(BD$11&gt;$AB$4,"",$BD$2)</f>
        <v>│</v>
      </c>
      <c r="BD100" s="22"/>
      <c r="BE100" s="71"/>
    </row>
    <row r="101" spans="2:57" x14ac:dyDescent="0.2">
      <c r="B101" s="19"/>
      <c r="C101" s="23"/>
      <c r="D101" s="20"/>
      <c r="E101" s="20"/>
      <c r="F101" s="31" t="s">
        <v>5</v>
      </c>
      <c r="G101" s="31"/>
      <c r="H101" s="31" t="s">
        <v>1</v>
      </c>
      <c r="I101" s="31"/>
      <c r="J101" s="31" t="s">
        <v>2</v>
      </c>
      <c r="K101" s="20"/>
      <c r="L101" s="20"/>
      <c r="M101" s="21"/>
      <c r="N101" s="21"/>
      <c r="O101" s="21"/>
      <c r="P101" s="21"/>
      <c r="Q101" s="22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68"/>
      <c r="AL101" s="21">
        <f>IF(AL$11=$AB$4,MAX(Stock!AK100-$AD$4,0),IF(AL$11&lt;$AB$4,($AJ$4*(AN99-AN103)+AN103)/$AH$4,""))</f>
        <v>0</v>
      </c>
      <c r="AM101" s="82">
        <f>IF(AL$11&lt;$AB$4,528,"")</f>
        <v>528</v>
      </c>
      <c r="AN101" s="21"/>
      <c r="AO101" s="81"/>
      <c r="AP101" s="21">
        <f>IF(AP$11=$AB$4,MAX(Stock!AO100-$AD$4,0),IF(AP$11&lt;$AB$4,($AJ$4*(AR99-AR103)+AR103)/$AH$4,""))</f>
        <v>0</v>
      </c>
      <c r="AQ101" s="82">
        <f>IF(AP$11&lt;$AB$4,589,"")</f>
        <v>589</v>
      </c>
      <c r="AR101" s="21"/>
      <c r="AS101" s="68"/>
      <c r="AT101" s="21">
        <f>IF(AT$11=$AB$4,MAX(Stock!AS100-$AD$4,0),IF(AT$11&lt;$AB$4,($AJ$4*(AV99-AV103)+AV103)/$AH$4,""))</f>
        <v>0</v>
      </c>
      <c r="AU101" s="82">
        <f>IF(AT$11&lt;$AB$4,650,"")</f>
        <v>650</v>
      </c>
      <c r="AV101" s="21"/>
      <c r="AW101" s="83"/>
      <c r="AX101" s="21">
        <f>IF(AX$11=$AB$4,MAX(Stock!AW100-$AD$4,0),IF(AX$11&lt;$AB$4,($AJ$4*(AZ99-AZ103)+AZ103)/$AH$4,""))</f>
        <v>0</v>
      </c>
      <c r="AY101" s="82">
        <f>IF(AX$11&lt;$AB$4,711,"")</f>
        <v>711</v>
      </c>
      <c r="AZ101" s="21"/>
      <c r="BA101" s="68"/>
      <c r="BB101" s="21">
        <f>IF(BB$11=$AB$4,MAX(Stock!BA100-$AD$4,0),IF(BB$11&lt;$AB$4,($AJ$4*(BD99-BD103)+BD103)/$AH$4,""))</f>
        <v>0</v>
      </c>
      <c r="BC101" s="82">
        <f>IF(BB$11&lt;$AB$4,772,"")</f>
        <v>772</v>
      </c>
      <c r="BD101" s="22"/>
      <c r="BE101" s="71"/>
    </row>
    <row r="102" spans="2:57" ht="13.5" x14ac:dyDescent="0.2">
      <c r="B102" s="19"/>
      <c r="C102" s="23"/>
      <c r="D102" s="20"/>
      <c r="E102" s="20"/>
      <c r="F102" s="110">
        <f>AH4</f>
        <v>1.000661784781395</v>
      </c>
      <c r="G102" s="110"/>
      <c r="H102" s="110">
        <f>X4</f>
        <v>1.0447376961940817</v>
      </c>
      <c r="I102" s="110"/>
      <c r="J102" s="110">
        <f>Z4</f>
        <v>0.95717805880168916</v>
      </c>
      <c r="K102" s="20"/>
      <c r="L102" s="20"/>
      <c r="M102" s="21"/>
      <c r="N102" s="21"/>
      <c r="O102" s="21"/>
      <c r="P102" s="21"/>
      <c r="Q102" s="22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68"/>
      <c r="AL102" s="21"/>
      <c r="AM102" s="87" t="str">
        <f>IF(AN$11&gt;$AB$4,"",Stock!$G$1)</f>
        <v>│</v>
      </c>
      <c r="AN102" s="21"/>
      <c r="AO102" s="81" t="str">
        <f>IF(AP$11&gt;$AB$4,"",$BD$2)</f>
        <v>│</v>
      </c>
      <c r="AP102" s="21"/>
      <c r="AQ102" s="26" t="str">
        <f>IF(AR$11&gt;$AB$4,"",Stock!$G$1)</f>
        <v>│</v>
      </c>
      <c r="AR102" s="21"/>
      <c r="AS102" s="81" t="str">
        <f>IF(AT$11&gt;$AB$4,"",$BD$2)</f>
        <v>│</v>
      </c>
      <c r="AT102" s="21"/>
      <c r="AU102" s="26" t="str">
        <f>IF(AV$11&gt;$AB$4,"",Stock!$G$1)</f>
        <v>│</v>
      </c>
      <c r="AV102" s="21"/>
      <c r="AW102" s="84" t="str">
        <f>IF(AX$11&gt;$AB$4,"",$BD$2)</f>
        <v>│</v>
      </c>
      <c r="AX102" s="21"/>
      <c r="AY102" s="26" t="str">
        <f>IF(AZ$11&gt;$AB$4,"",Stock!$G$1)</f>
        <v>│</v>
      </c>
      <c r="AZ102" s="21"/>
      <c r="BA102" s="81" t="str">
        <f>IF(BB$11&gt;$AB$4,"",$BD$2)</f>
        <v>│</v>
      </c>
      <c r="BB102" s="21"/>
      <c r="BC102" s="26" t="str">
        <f>IF(BD$11&gt;$AB$4,"",Stock!$G$1)</f>
        <v>│</v>
      </c>
      <c r="BD102" s="22"/>
      <c r="BE102" s="71"/>
    </row>
    <row r="103" spans="2:57" x14ac:dyDescent="0.2">
      <c r="B103" s="19"/>
      <c r="C103" s="23"/>
      <c r="D103" s="20"/>
      <c r="E103" s="20"/>
      <c r="F103" s="20"/>
      <c r="G103" s="20"/>
      <c r="H103" s="20"/>
      <c r="I103" s="20"/>
      <c r="J103" s="20"/>
      <c r="K103" s="20"/>
      <c r="L103" s="20"/>
      <c r="M103" s="21"/>
      <c r="N103" s="21"/>
      <c r="O103" s="21"/>
      <c r="P103" s="21"/>
      <c r="Q103" s="22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68"/>
      <c r="AL103" s="21"/>
      <c r="AM103" s="88"/>
      <c r="AN103" s="21">
        <f>IF(AN$11=$AB$4,MAX(Stock!AM102-$AD$4,0),IF(AN$11&lt;$AB$4,($AJ$4*(AP101-AP105)+AP105)/$AH$4,""))</f>
        <v>0</v>
      </c>
      <c r="AO103" s="82">
        <f>IF(AN$11&lt;$AB$4,559,"")</f>
        <v>559</v>
      </c>
      <c r="AP103" s="21"/>
      <c r="AQ103" s="68"/>
      <c r="AR103" s="21">
        <f>IF(AR$11=$AB$4,MAX(Stock!AQ102-$AD$4,0),IF(AR$11&lt;$AB$4,($AJ$4*(AT101-AT105)+AT105)/$AH$4,""))</f>
        <v>0</v>
      </c>
      <c r="AS103" s="82">
        <f>IF(AR$11&lt;$AB$4,620,"")</f>
        <v>620</v>
      </c>
      <c r="AT103" s="21"/>
      <c r="AU103" s="68"/>
      <c r="AV103" s="21">
        <f>IF(AV$11=$AB$4,MAX(Stock!AU102-$AD$4,0),IF(AV$11&lt;$AB$4,($AJ$4*(AX101-AX105)+AX105)/$AH$4,""))</f>
        <v>0</v>
      </c>
      <c r="AW103" s="82">
        <f>IF(AV$11&lt;$AB$4,681,"")</f>
        <v>681</v>
      </c>
      <c r="AX103" s="21"/>
      <c r="AY103" s="68"/>
      <c r="AZ103" s="21">
        <f>IF(AZ$11=$AB$4,MAX(Stock!AY102-$AD$4,0),IF(AZ$11&lt;$AB$4,($AJ$4*(BB101-BB105)+BB105)/$AH$4,""))</f>
        <v>0</v>
      </c>
      <c r="BA103" s="82">
        <f>IF(AZ$11&lt;$AB$4,742,"")</f>
        <v>742</v>
      </c>
      <c r="BB103" s="21"/>
      <c r="BC103" s="68"/>
      <c r="BD103" s="22">
        <f>IF(BD$11=$AB$4,MAX(Stock!BC102-$AD$4,0),IF(BD$11&lt;$AB$4,($AJ$4*(BE101-BE105)+BE105)/$AH$4,""))</f>
        <v>0</v>
      </c>
      <c r="BE103" s="71"/>
    </row>
    <row r="104" spans="2:57" ht="13.5" x14ac:dyDescent="0.2">
      <c r="B104" s="19"/>
      <c r="C104" s="23"/>
      <c r="D104" s="20" t="s">
        <v>59</v>
      </c>
      <c r="E104" s="20"/>
      <c r="F104" s="110">
        <f>(F102-J102)/(H102-J102)</f>
        <v>0.4966183880460408</v>
      </c>
      <c r="G104" s="20"/>
      <c r="H104" s="20"/>
      <c r="I104" s="20"/>
      <c r="J104" s="20"/>
      <c r="K104" s="20"/>
      <c r="L104" s="20"/>
      <c r="M104" s="21"/>
      <c r="N104" s="21"/>
      <c r="O104" s="21"/>
      <c r="P104" s="21"/>
      <c r="Q104" s="22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  <c r="AM104" s="89"/>
      <c r="AN104" s="21"/>
      <c r="AO104" s="26" t="str">
        <f>IF(AP$11&gt;$AB$4,"",Stock!$G$1)</f>
        <v>│</v>
      </c>
      <c r="AP104" s="21"/>
      <c r="AQ104" s="81" t="str">
        <f>IF(AR$11&gt;$AB$4,"",$BD$2)</f>
        <v>│</v>
      </c>
      <c r="AR104" s="21"/>
      <c r="AS104" s="26" t="str">
        <f>IF(AT$11&gt;$AB$4,"",Stock!$G$1)</f>
        <v>│</v>
      </c>
      <c r="AT104" s="21"/>
      <c r="AU104" s="81" t="str">
        <f>IF(AV$11&gt;$AB$4,"",$BD$2)</f>
        <v>│</v>
      </c>
      <c r="AV104" s="21"/>
      <c r="AW104" s="85" t="str">
        <f>IF(AX$11&gt;$AB$4,"",Stock!$G$1)</f>
        <v>│</v>
      </c>
      <c r="AX104" s="21"/>
      <c r="AY104" s="81" t="str">
        <f>IF(AZ$11&gt;$AB$4,"",$BD$2)</f>
        <v>│</v>
      </c>
      <c r="AZ104" s="21"/>
      <c r="BA104" s="26" t="str">
        <f>IF(BB$11&gt;$AB$4,"",Stock!$G$1)</f>
        <v>│</v>
      </c>
      <c r="BB104" s="21"/>
      <c r="BC104" s="81" t="str">
        <f>IF(BD$11&gt;$AB$4,"",$BD$2)</f>
        <v>│</v>
      </c>
      <c r="BD104" s="22"/>
      <c r="BE104" s="71"/>
    </row>
    <row r="105" spans="2:57" x14ac:dyDescent="0.2">
      <c r="B105" s="19"/>
      <c r="C105" s="23"/>
      <c r="D105" s="20"/>
      <c r="E105" s="20"/>
      <c r="F105" s="20"/>
      <c r="G105" s="27"/>
      <c r="H105" s="20"/>
      <c r="I105" s="20"/>
      <c r="J105" s="20"/>
      <c r="K105" s="20"/>
      <c r="L105" s="20"/>
      <c r="M105" s="21"/>
      <c r="N105" s="21"/>
      <c r="O105" s="21"/>
      <c r="P105" s="21"/>
      <c r="Q105" s="22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21"/>
      <c r="AM105" s="21"/>
      <c r="AN105" s="21"/>
      <c r="AO105" s="68"/>
      <c r="AP105" s="21">
        <f>IF(AP$11=$AB$4,MAX(Stock!AO104-$AD$4,0),IF(AP$11&lt;$AB$4,($AJ$4*(AR103-AR107)+AR107)/$AH$4,""))</f>
        <v>0</v>
      </c>
      <c r="AQ105" s="82">
        <f>IF(AP$11&lt;$AB$4,590,"")</f>
        <v>590</v>
      </c>
      <c r="AR105" s="21"/>
      <c r="AS105" s="68"/>
      <c r="AT105" s="21">
        <f>IF(AT$11=$AB$4,MAX(Stock!AS104-$AD$4,0),IF(AT$11&lt;$AB$4,($AJ$4*(AV103-AV107)+AV107)/$AH$4,""))</f>
        <v>0</v>
      </c>
      <c r="AU105" s="82">
        <f>IF(AT$11&lt;$AB$4,651,"")</f>
        <v>651</v>
      </c>
      <c r="AV105" s="21"/>
      <c r="AW105" s="83"/>
      <c r="AX105" s="21">
        <f>IF(AX$11=$AB$4,MAX(Stock!AW104-$AD$4,0),IF(AX$11&lt;$AB$4,($AJ$4*(AZ103-AZ107)+AZ107)/$AH$4,""))</f>
        <v>0</v>
      </c>
      <c r="AY105" s="82">
        <f>IF(AX$11&lt;$AB$4,712,"")</f>
        <v>712</v>
      </c>
      <c r="AZ105" s="21"/>
      <c r="BA105" s="68"/>
      <c r="BB105" s="21">
        <f>IF(BB$11=$AB$4,MAX(Stock!BA104-$AD$4,0),IF(BB$11&lt;$AB$4,($AJ$4*(BD103-BD107)+BD107)/$AH$4,""))</f>
        <v>0</v>
      </c>
      <c r="BC105" s="82">
        <f>IF(BB$11&lt;$AB$4,773,"")</f>
        <v>773</v>
      </c>
      <c r="BD105" s="22"/>
      <c r="BE105" s="71"/>
    </row>
    <row r="106" spans="2:57" ht="13.5" x14ac:dyDescent="0.2">
      <c r="B106" s="19"/>
      <c r="C106" s="23"/>
      <c r="D106" s="20" t="s">
        <v>65</v>
      </c>
      <c r="E106" s="20"/>
      <c r="F106" s="20"/>
      <c r="G106" s="20"/>
      <c r="H106" s="27">
        <f>F104</f>
        <v>0.4966183880460408</v>
      </c>
      <c r="I106" s="20" t="s">
        <v>66</v>
      </c>
      <c r="J106" s="20"/>
      <c r="K106" s="20"/>
      <c r="L106" s="20"/>
      <c r="M106" s="21"/>
      <c r="N106" s="21"/>
      <c r="O106" s="21"/>
      <c r="P106" s="21"/>
      <c r="Q106" s="22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68"/>
      <c r="AP106" s="21"/>
      <c r="AQ106" s="26" t="str">
        <f>IF(AR$11&gt;$AB$4,"",Stock!$G$1)</f>
        <v>│</v>
      </c>
      <c r="AR106" s="21"/>
      <c r="AS106" s="81" t="str">
        <f>IF(AT$11&gt;$AB$4,"",$BD$2)</f>
        <v>│</v>
      </c>
      <c r="AT106" s="21"/>
      <c r="AU106" s="26" t="str">
        <f>IF(AV$11&gt;$AB$4,"",Stock!$G$1)</f>
        <v>│</v>
      </c>
      <c r="AV106" s="21"/>
      <c r="AW106" s="84" t="str">
        <f>IF(AX$11&gt;$AB$4,"",$BD$2)</f>
        <v>│</v>
      </c>
      <c r="AX106" s="21"/>
      <c r="AY106" s="26" t="str">
        <f>IF(AZ$11&gt;$AB$4,"",Stock!$G$1)</f>
        <v>│</v>
      </c>
      <c r="AZ106" s="21"/>
      <c r="BA106" s="81" t="str">
        <f>IF(BB$11&gt;$AB$4,"",$BD$2)</f>
        <v>│</v>
      </c>
      <c r="BB106" s="21"/>
      <c r="BC106" s="26" t="str">
        <f>IF(BD$11&gt;$AB$4,"",Stock!$G$1)</f>
        <v>│</v>
      </c>
      <c r="BD106" s="22"/>
      <c r="BE106" s="71"/>
    </row>
    <row r="107" spans="2:57" x14ac:dyDescent="0.2">
      <c r="B107" s="19"/>
      <c r="C107" s="23"/>
      <c r="D107" s="20" t="s">
        <v>67</v>
      </c>
      <c r="E107" s="20"/>
      <c r="F107" s="27">
        <f>1-F104</f>
        <v>0.50338161195395914</v>
      </c>
      <c r="G107" s="20" t="s">
        <v>68</v>
      </c>
      <c r="H107" s="20"/>
      <c r="I107" s="20"/>
      <c r="J107" s="20"/>
      <c r="K107" s="20"/>
      <c r="L107" s="20"/>
      <c r="M107" s="21"/>
      <c r="N107" s="21"/>
      <c r="O107" s="21"/>
      <c r="P107" s="21"/>
      <c r="Q107" s="22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21"/>
      <c r="AM107" s="21"/>
      <c r="AN107" s="21"/>
      <c r="AO107" s="68"/>
      <c r="AP107" s="21"/>
      <c r="AQ107" s="68"/>
      <c r="AR107" s="21">
        <f>IF(AR$11=$AB$4,MAX(Stock!AQ106-$AD$4,0),IF(AR$11&lt;$AB$4,($AJ$4*(AT105-AT109)+AT109)/$AH$4,""))</f>
        <v>0</v>
      </c>
      <c r="AS107" s="82">
        <f>IF(AR$11&lt;$AB$4,621,"")</f>
        <v>621</v>
      </c>
      <c r="AT107" s="21"/>
      <c r="AU107" s="68"/>
      <c r="AV107" s="21">
        <f>IF(AV$11=$AB$4,MAX(Stock!AU106-$AD$4,0),IF(AV$11&lt;$AB$4,($AJ$4*(AX105-AX109)+AX109)/$AH$4,""))</f>
        <v>0</v>
      </c>
      <c r="AW107" s="82">
        <f>IF(AV$11&lt;$AB$4,682,"")</f>
        <v>682</v>
      </c>
      <c r="AX107" s="21"/>
      <c r="AY107" s="68"/>
      <c r="AZ107" s="21">
        <f>IF(AZ$11=$AB$4,MAX(Stock!AY106-$AD$4,0),IF(AZ$11&lt;$AB$4,($AJ$4*(BB105-BB109)+BB109)/$AH$4,""))</f>
        <v>0</v>
      </c>
      <c r="BA107" s="82">
        <f>IF(AZ$11&lt;$AB$4,743,"")</f>
        <v>743</v>
      </c>
      <c r="BB107" s="21"/>
      <c r="BC107" s="68"/>
      <c r="BD107" s="22">
        <f>IF(BD$11=$AB$4,MAX(Stock!BC106-$AD$4,0),IF(BD$11&lt;$AB$4,($AJ$4*(BE105-BE109)+BE109)/$AH$4,""))</f>
        <v>0</v>
      </c>
      <c r="BE107" s="71"/>
    </row>
    <row r="108" spans="2:57" ht="13.5" x14ac:dyDescent="0.2">
      <c r="B108" s="19"/>
      <c r="C108" s="23"/>
      <c r="D108" s="20" t="s">
        <v>69</v>
      </c>
      <c r="E108" s="20"/>
      <c r="F108" s="20"/>
      <c r="G108" s="20"/>
      <c r="H108" s="20"/>
      <c r="I108" s="20"/>
      <c r="J108" s="20"/>
      <c r="K108" s="20"/>
      <c r="L108" s="20"/>
      <c r="M108" s="21"/>
      <c r="N108" s="21"/>
      <c r="O108" s="21"/>
      <c r="P108" s="21"/>
      <c r="Q108" s="22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21"/>
      <c r="AM108" s="21"/>
      <c r="AN108" s="21"/>
      <c r="AO108" s="68"/>
      <c r="AP108" s="21"/>
      <c r="AQ108" s="21"/>
      <c r="AR108" s="21"/>
      <c r="AS108" s="26" t="str">
        <f>IF(AT$11&gt;$AB$4,"",Stock!$G$1)</f>
        <v>│</v>
      </c>
      <c r="AT108" s="21"/>
      <c r="AU108" s="81" t="str">
        <f>IF(AV$11&gt;$AB$4,"",$BD$2)</f>
        <v>│</v>
      </c>
      <c r="AV108" s="21"/>
      <c r="AW108" s="85" t="str">
        <f>IF(AX$11&gt;$AB$4,"",Stock!$G$1)</f>
        <v>│</v>
      </c>
      <c r="AX108" s="21"/>
      <c r="AY108" s="81" t="str">
        <f>IF(AZ$11&gt;$AB$4,"",$BD$2)</f>
        <v>│</v>
      </c>
      <c r="AZ108" s="21"/>
      <c r="BA108" s="26" t="str">
        <f>IF(BB$11&gt;$AB$4,"",Stock!$G$1)</f>
        <v>│</v>
      </c>
      <c r="BB108" s="21"/>
      <c r="BC108" s="81" t="str">
        <f>IF(BD$11&gt;$AB$4,"",$BD$2)</f>
        <v>│</v>
      </c>
      <c r="BD108" s="22"/>
      <c r="BE108" s="71"/>
    </row>
    <row r="109" spans="2:57" x14ac:dyDescent="0.2">
      <c r="B109" s="19"/>
      <c r="C109" s="23"/>
      <c r="D109" s="28" t="s">
        <v>70</v>
      </c>
      <c r="E109" s="20"/>
      <c r="F109" s="20"/>
      <c r="G109" s="20"/>
      <c r="H109" s="20"/>
      <c r="I109" s="20"/>
      <c r="J109" s="20"/>
      <c r="K109" s="20"/>
      <c r="L109" s="20"/>
      <c r="M109" s="21"/>
      <c r="N109" s="21"/>
      <c r="O109" s="21"/>
      <c r="P109" s="21"/>
      <c r="Q109" s="22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  <c r="AQ109" s="21"/>
      <c r="AR109" s="21"/>
      <c r="AS109" s="68"/>
      <c r="AT109" s="21">
        <f>IF(AT$11=$AB$4,MAX(Stock!AS108-$AD$4,0),IF(AT$11&lt;$AB$4,($AJ$4*(AV107-AV111)+AV111)/$AH$4,""))</f>
        <v>0</v>
      </c>
      <c r="AU109" s="82">
        <f>IF(AT$11&lt;$AB$4,652,"")</f>
        <v>652</v>
      </c>
      <c r="AV109" s="21"/>
      <c r="AW109" s="83"/>
      <c r="AX109" s="21">
        <f>IF(AX$11=$AB$4,MAX(Stock!AW108-$AD$4,0),IF(AX$11&lt;$AB$4,($AJ$4*(AZ107-AZ111)+AZ111)/$AH$4,""))</f>
        <v>0</v>
      </c>
      <c r="AY109" s="82">
        <f>IF(AX$11&lt;$AB$4,713,"")</f>
        <v>713</v>
      </c>
      <c r="AZ109" s="21"/>
      <c r="BA109" s="68"/>
      <c r="BB109" s="21">
        <f>IF(BB$11=$AB$4,MAX(Stock!BA108-$AD$4,0),IF(BB$11&lt;$AB$4,($AJ$4*(BD107-BD111)+BD111)/$AH$4,""))</f>
        <v>0</v>
      </c>
      <c r="BC109" s="82">
        <f>IF(BB$11&lt;$AB$4,774,"")</f>
        <v>774</v>
      </c>
      <c r="BD109" s="22"/>
      <c r="BE109" s="71"/>
    </row>
    <row r="110" spans="2:57" ht="13.5" x14ac:dyDescent="0.2">
      <c r="B110" s="19"/>
      <c r="C110" s="23"/>
      <c r="D110" s="20"/>
      <c r="E110" s="20"/>
      <c r="F110" s="20"/>
      <c r="G110" s="20"/>
      <c r="H110" s="20"/>
      <c r="I110" s="20"/>
      <c r="J110" s="20"/>
      <c r="K110" s="20"/>
      <c r="L110" s="20"/>
      <c r="M110" s="21"/>
      <c r="N110" s="21"/>
      <c r="O110" s="21"/>
      <c r="P110" s="21"/>
      <c r="Q110" s="22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1"/>
      <c r="AQ110" s="21"/>
      <c r="AR110" s="21"/>
      <c r="AS110" s="68"/>
      <c r="AT110" s="21"/>
      <c r="AU110" s="26" t="str">
        <f>IF(AV$11&gt;$AB$4,"",Stock!$G$1)</f>
        <v>│</v>
      </c>
      <c r="AV110" s="21"/>
      <c r="AW110" s="84" t="str">
        <f>IF(AX$11&gt;$AB$4,"",$BD$2)</f>
        <v>│</v>
      </c>
      <c r="AX110" s="21"/>
      <c r="AY110" s="26" t="str">
        <f>IF(AZ$11&gt;$AB$4,"",Stock!$G$1)</f>
        <v>│</v>
      </c>
      <c r="AZ110" s="21"/>
      <c r="BA110" s="81" t="str">
        <f>IF(BB$11&gt;$AB$4,"",$BD$2)</f>
        <v>│</v>
      </c>
      <c r="BB110" s="21"/>
      <c r="BC110" s="26" t="str">
        <f>IF(BD$11&gt;$AB$4,"",Stock!$G$1)</f>
        <v>│</v>
      </c>
      <c r="BD110" s="22"/>
      <c r="BE110" s="71"/>
    </row>
    <row r="111" spans="2:57" x14ac:dyDescent="0.2">
      <c r="B111" s="19"/>
      <c r="C111" s="23"/>
      <c r="D111" s="38" t="s">
        <v>72</v>
      </c>
      <c r="E111" s="38"/>
      <c r="F111" s="38"/>
      <c r="G111" s="38"/>
      <c r="H111" s="38"/>
      <c r="I111" s="38"/>
      <c r="J111" s="38"/>
      <c r="K111" s="38"/>
      <c r="L111" s="38"/>
      <c r="M111" s="21"/>
      <c r="N111" s="21"/>
      <c r="O111" s="21"/>
      <c r="P111" s="21"/>
      <c r="Q111" s="22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  <c r="AQ111" s="21"/>
      <c r="AR111" s="21"/>
      <c r="AS111" s="68"/>
      <c r="AT111" s="21"/>
      <c r="AU111" s="68"/>
      <c r="AV111" s="21">
        <f>IF(AV$11=$AB$4,MAX(Stock!AU110-$AD$4,0),IF(AV$11&lt;$AB$4,($AJ$4*(AX109-AX113)+AX113)/$AH$4,""))</f>
        <v>0</v>
      </c>
      <c r="AW111" s="82">
        <f>IF(AV$11&lt;$AB$4,683,"")</f>
        <v>683</v>
      </c>
      <c r="AX111" s="21"/>
      <c r="AY111" s="68"/>
      <c r="AZ111" s="21">
        <f>IF(AZ$11=$AB$4,MAX(Stock!AY110-$AD$4,0),IF(AZ$11&lt;$AB$4,($AJ$4*(BB109-BB113)+BB113)/$AH$4,""))</f>
        <v>0</v>
      </c>
      <c r="BA111" s="82">
        <f>IF(AZ$11&lt;$AB$4,744,"")</f>
        <v>744</v>
      </c>
      <c r="BB111" s="21"/>
      <c r="BC111" s="68"/>
      <c r="BD111" s="22">
        <f>IF(BD$11=$AB$4,MAX(Stock!BC110-$AD$4,0),IF(BD$11&lt;$AB$4,($AJ$4*(BE109-BE113)+BE113)/$AH$4,""))</f>
        <v>0</v>
      </c>
      <c r="BE111" s="71"/>
    </row>
    <row r="112" spans="2:57" ht="13.5" x14ac:dyDescent="0.2">
      <c r="B112" s="19"/>
      <c r="C112" s="23"/>
      <c r="D112" s="20" t="s">
        <v>56</v>
      </c>
      <c r="E112" s="20"/>
      <c r="F112" s="20"/>
      <c r="G112" s="20"/>
      <c r="H112" s="20"/>
      <c r="I112" s="20"/>
      <c r="J112" s="20"/>
      <c r="K112" s="20"/>
      <c r="L112" s="20"/>
      <c r="M112" s="20"/>
      <c r="N112" s="110">
        <f ca="1">F88</f>
        <v>7.8122709573835483</v>
      </c>
      <c r="O112" s="21"/>
      <c r="P112" s="21"/>
      <c r="Q112" s="22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  <c r="AQ112" s="21"/>
      <c r="AR112" s="21"/>
      <c r="AS112" s="68"/>
      <c r="AT112" s="21"/>
      <c r="AU112" s="81"/>
      <c r="AV112" s="21"/>
      <c r="AW112" s="85" t="str">
        <f>IF(AX$11&gt;$AB$4,"",Stock!$G$1)</f>
        <v>│</v>
      </c>
      <c r="AX112" s="21"/>
      <c r="AY112" s="81" t="str">
        <f>IF(AZ$11&gt;$AB$4,"",$BD$2)</f>
        <v>│</v>
      </c>
      <c r="AZ112" s="21"/>
      <c r="BA112" s="26" t="str">
        <f>IF(BB$11&gt;$AB$4,"",Stock!$G$1)</f>
        <v>│</v>
      </c>
      <c r="BB112" s="21"/>
      <c r="BC112" s="81" t="str">
        <f>IF(BD$11&gt;$AB$4,"",$BD$2)</f>
        <v>│</v>
      </c>
      <c r="BD112" s="22"/>
      <c r="BE112" s="71"/>
    </row>
    <row r="113" spans="2:57" x14ac:dyDescent="0.2">
      <c r="B113" s="19"/>
      <c r="C113" s="23"/>
      <c r="D113" s="20" t="s">
        <v>57</v>
      </c>
      <c r="E113" s="20"/>
      <c r="F113" s="20"/>
      <c r="G113" s="20"/>
      <c r="H113" s="20"/>
      <c r="I113" s="20"/>
      <c r="J113" s="20"/>
      <c r="K113" s="20"/>
      <c r="L113" s="20"/>
      <c r="M113" s="21"/>
      <c r="N113" s="110">
        <f ca="1">F92</f>
        <v>3.0155581965851916</v>
      </c>
      <c r="O113" s="21"/>
      <c r="P113" s="21"/>
      <c r="Q113" s="22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21"/>
      <c r="AM113" s="21"/>
      <c r="AN113" s="21"/>
      <c r="AO113" s="21"/>
      <c r="AP113" s="21"/>
      <c r="AQ113" s="21"/>
      <c r="AR113" s="21"/>
      <c r="AS113" s="68"/>
      <c r="AT113" s="21"/>
      <c r="AU113" s="21"/>
      <c r="AV113" s="21"/>
      <c r="AW113" s="83"/>
      <c r="AX113" s="21">
        <f>IF(AX$11=$AB$4,MAX(Stock!AW112-$AD$4,0),IF(AX$11&lt;$AB$4,($AJ$4*(AZ111-AZ115)+AZ115)/$AH$4,""))</f>
        <v>0</v>
      </c>
      <c r="AY113" s="82">
        <f>IF(AX$11&lt;$AB$4,714,"")</f>
        <v>714</v>
      </c>
      <c r="AZ113" s="21"/>
      <c r="BA113" s="68"/>
      <c r="BB113" s="21">
        <f>IF(BB$11=$AB$4,MAX(Stock!BA112-$AD$4,0),IF(BB$11&lt;$AB$4,($AJ$4*(BD111-BD115)+BD115)/$AH$4,""))</f>
        <v>0</v>
      </c>
      <c r="BC113" s="82">
        <f>IF(BB$11&lt;$AB$4,775,"")</f>
        <v>775</v>
      </c>
      <c r="BD113" s="22"/>
      <c r="BE113" s="71"/>
    </row>
    <row r="114" spans="2:57" ht="13.5" x14ac:dyDescent="0.2">
      <c r="B114" s="19"/>
      <c r="C114" s="23"/>
      <c r="D114" s="20" t="s">
        <v>73</v>
      </c>
      <c r="E114" s="20"/>
      <c r="F114" s="20"/>
      <c r="G114" s="30"/>
      <c r="H114" s="110">
        <f ca="1">F88</f>
        <v>7.8122709573835483</v>
      </c>
      <c r="I114" s="31" t="s">
        <v>54</v>
      </c>
      <c r="J114" s="20" t="s">
        <v>60</v>
      </c>
      <c r="K114" s="20"/>
      <c r="L114" s="110">
        <f ca="1">F92</f>
        <v>3.0155581965851916</v>
      </c>
      <c r="M114" s="31" t="s">
        <v>55</v>
      </c>
      <c r="N114" s="110">
        <f ca="1">F104*N112+(1-F104)*N113</f>
        <v>5.3976939557727448</v>
      </c>
      <c r="O114" s="21"/>
      <c r="P114" s="21"/>
      <c r="Q114" s="22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AQ114" s="21"/>
      <c r="AR114" s="21"/>
      <c r="AS114" s="68"/>
      <c r="AT114" s="21"/>
      <c r="AU114" s="21"/>
      <c r="AV114" s="21"/>
      <c r="AW114" s="83"/>
      <c r="AX114" s="21"/>
      <c r="AY114" s="26" t="str">
        <f>IF(AZ$11&gt;$AB$4,"",Stock!$G$1)</f>
        <v>│</v>
      </c>
      <c r="AZ114" s="21"/>
      <c r="BA114" s="81" t="str">
        <f>IF(BB$11&gt;$AB$4,"",$BD$2)</f>
        <v>│</v>
      </c>
      <c r="BB114" s="21"/>
      <c r="BC114" s="26" t="str">
        <f>IF(BD$11&gt;$AB$4,"",Stock!$G$1)</f>
        <v>│</v>
      </c>
      <c r="BD114" s="22"/>
      <c r="BE114" s="71"/>
    </row>
    <row r="115" spans="2:57" x14ac:dyDescent="0.2">
      <c r="B115" s="19"/>
      <c r="C115" s="23"/>
      <c r="D115" s="20"/>
      <c r="E115" s="20"/>
      <c r="F115" s="20"/>
      <c r="G115" s="29"/>
      <c r="H115" s="31"/>
      <c r="I115" s="20"/>
      <c r="J115" s="29"/>
      <c r="K115" s="31"/>
      <c r="L115" s="20"/>
      <c r="M115" s="21"/>
      <c r="N115" s="21"/>
      <c r="O115" s="21"/>
      <c r="P115" s="21"/>
      <c r="Q115" s="22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  <c r="AQ115" s="21"/>
      <c r="AR115" s="21"/>
      <c r="AS115" s="68"/>
      <c r="AT115" s="21"/>
      <c r="AU115" s="21"/>
      <c r="AV115" s="21"/>
      <c r="AW115" s="83"/>
      <c r="AX115" s="21"/>
      <c r="AY115" s="68"/>
      <c r="AZ115" s="21">
        <f>IF(AZ$11=$AB$4,MAX(Stock!AY114-$AD$4,0),IF(AZ$11&lt;$AB$4,($AJ$4*(BB113-BB117)+BB117)/$AH$4,""))</f>
        <v>0</v>
      </c>
      <c r="BA115" s="82">
        <f>IF(AZ$11&lt;$AB$4,745,"")</f>
        <v>745</v>
      </c>
      <c r="BB115" s="21"/>
      <c r="BC115" s="68"/>
      <c r="BD115" s="22">
        <f>IF(BD$11=$AB$4,MAX(Stock!BC114-$AD$4,0),IF(BD$11&lt;$AB$4,($AJ$4*(BE113-BE117)+BE117)/$AH$4,""))</f>
        <v>0</v>
      </c>
      <c r="BE115" s="71"/>
    </row>
    <row r="116" spans="2:57" ht="13.5" x14ac:dyDescent="0.2">
      <c r="B116" s="19"/>
      <c r="C116" s="23"/>
      <c r="D116" s="20"/>
      <c r="E116" s="20"/>
      <c r="F116" s="20"/>
      <c r="G116" s="20"/>
      <c r="H116" s="20"/>
      <c r="I116" s="20"/>
      <c r="J116" s="20"/>
      <c r="K116" s="20"/>
      <c r="L116" s="20"/>
      <c r="M116" s="21"/>
      <c r="N116" s="21"/>
      <c r="O116" s="21"/>
      <c r="P116" s="21"/>
      <c r="Q116" s="22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5"/>
      <c r="AV116" s="21"/>
      <c r="AW116" s="21"/>
      <c r="AX116" s="21"/>
      <c r="AY116" s="81"/>
      <c r="AZ116" s="21"/>
      <c r="BA116" s="26" t="str">
        <f>IF(BB$11&gt;$AB$4,"",Stock!$G$1)</f>
        <v>│</v>
      </c>
      <c r="BB116" s="21"/>
      <c r="BC116" s="81" t="str">
        <f>IF(BD$11&gt;$AB$4,"",$BD$2)</f>
        <v>│</v>
      </c>
      <c r="BD116" s="22"/>
      <c r="BE116" s="71"/>
    </row>
    <row r="117" spans="2:57" x14ac:dyDescent="0.2">
      <c r="B117" s="19"/>
      <c r="C117" s="23"/>
      <c r="D117" s="38" t="s">
        <v>75</v>
      </c>
      <c r="E117" s="38"/>
      <c r="F117" s="38"/>
      <c r="G117" s="38"/>
      <c r="H117" s="38"/>
      <c r="I117" s="38"/>
      <c r="J117" s="38"/>
      <c r="K117" s="38"/>
      <c r="L117" s="38"/>
      <c r="M117" s="40"/>
      <c r="N117" s="39"/>
      <c r="O117" s="21"/>
      <c r="P117" s="21"/>
      <c r="Q117" s="22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68"/>
      <c r="BB117" s="21">
        <f>IF(BB$11=$AB$4,MAX(Stock!BA116-$AD$4,0),IF(BB$11&lt;$AB$4,($AJ$4*(BD115-BD119)+BD119)/$AH$4,""))</f>
        <v>0</v>
      </c>
      <c r="BC117" s="82">
        <f>IF(BB$11&lt;$AB$4,776,"")</f>
        <v>776</v>
      </c>
      <c r="BD117" s="22"/>
      <c r="BE117" s="71"/>
    </row>
    <row r="118" spans="2:57" ht="13.5" x14ac:dyDescent="0.2">
      <c r="B118" s="19"/>
      <c r="C118" s="23"/>
      <c r="D118" s="20" t="s">
        <v>76</v>
      </c>
      <c r="E118" s="20"/>
      <c r="F118" s="20"/>
      <c r="G118" s="20"/>
      <c r="H118" s="20"/>
      <c r="I118" s="20"/>
      <c r="J118" s="20"/>
      <c r="K118" s="27"/>
      <c r="L118" s="20"/>
      <c r="M118" s="21"/>
      <c r="N118" s="21"/>
      <c r="O118" s="21"/>
      <c r="P118" s="21"/>
      <c r="Q118" s="22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68"/>
      <c r="BB118" s="21"/>
      <c r="BC118" s="26" t="str">
        <f>IF(BD$11&gt;$AB$4,"",Stock!$G$1)</f>
        <v>│</v>
      </c>
      <c r="BD118" s="22"/>
      <c r="BE118" s="71"/>
    </row>
    <row r="119" spans="2:57" x14ac:dyDescent="0.2">
      <c r="B119" s="19"/>
      <c r="C119" s="23"/>
      <c r="D119" s="110">
        <f ca="1">N114</f>
        <v>5.3976939557727448</v>
      </c>
      <c r="E119" s="31" t="s">
        <v>58</v>
      </c>
      <c r="F119" s="111">
        <f>1+F102</f>
        <v>2.000661784781395</v>
      </c>
      <c r="G119" s="20" t="s">
        <v>55</v>
      </c>
      <c r="H119" s="21">
        <f ca="1">D90</f>
        <v>5.3941242064639532</v>
      </c>
      <c r="I119" s="20"/>
      <c r="J119" s="20"/>
      <c r="K119" s="20"/>
      <c r="L119" s="20"/>
      <c r="M119" s="21"/>
      <c r="N119" s="21"/>
      <c r="O119" s="21"/>
      <c r="P119" s="21"/>
      <c r="Q119" s="22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68"/>
      <c r="BD119" s="22">
        <f>IF(BD$11=$AB$4,MAX(Stock!BC118-$AD$4,0),IF(BD$11&lt;$AB$4,($AJ$4*(BE117-BE120)+BE120)/$AH$4,""))</f>
        <v>0</v>
      </c>
      <c r="BE119" s="71"/>
    </row>
    <row r="120" spans="2:57" x14ac:dyDescent="0.2">
      <c r="B120" s="106"/>
      <c r="C120" s="32"/>
      <c r="D120" s="33"/>
      <c r="E120" s="34"/>
      <c r="F120" s="35"/>
      <c r="G120" s="33"/>
      <c r="H120" s="36"/>
      <c r="I120" s="33"/>
      <c r="J120" s="33"/>
      <c r="K120" s="33"/>
      <c r="L120" s="33"/>
      <c r="M120" s="36"/>
      <c r="N120" s="36"/>
      <c r="O120" s="36"/>
      <c r="P120" s="36"/>
      <c r="Q120" s="37"/>
      <c r="R120" s="36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F120" s="36"/>
      <c r="AG120" s="36"/>
      <c r="AH120" s="36"/>
      <c r="AI120" s="36"/>
      <c r="AJ120" s="36"/>
      <c r="AK120" s="36"/>
      <c r="AL120" s="36"/>
      <c r="AM120" s="36"/>
      <c r="AN120" s="36"/>
      <c r="AO120" s="36"/>
      <c r="AP120" s="36"/>
      <c r="AQ120" s="36"/>
      <c r="AR120" s="36"/>
      <c r="AS120" s="36"/>
      <c r="AT120" s="36"/>
      <c r="AU120" s="36"/>
      <c r="AV120" s="36"/>
      <c r="AW120" s="36"/>
      <c r="AX120" s="36"/>
      <c r="AY120" s="36"/>
      <c r="AZ120" s="36"/>
      <c r="BA120" s="36"/>
      <c r="BB120" s="36"/>
      <c r="BC120" s="107"/>
      <c r="BD120" s="37"/>
    </row>
    <row r="121" spans="2:57" x14ac:dyDescent="0.2">
      <c r="C121" s="71"/>
      <c r="D121" s="46" t="s">
        <v>77</v>
      </c>
      <c r="M121" s="71"/>
      <c r="N121" s="71"/>
      <c r="O121" s="71"/>
      <c r="P121" s="71"/>
      <c r="Q121" s="71"/>
      <c r="R121" s="71"/>
      <c r="S121" s="71"/>
      <c r="T121" s="71"/>
      <c r="U121" s="71"/>
      <c r="V121" s="71"/>
      <c r="W121" s="71"/>
      <c r="X121" s="71"/>
      <c r="Y121" s="71"/>
      <c r="Z121" s="71"/>
      <c r="AA121" s="71"/>
      <c r="AB121" s="71"/>
      <c r="AC121" s="71"/>
      <c r="AD121" s="71"/>
      <c r="AE121" s="71"/>
      <c r="AF121" s="71"/>
      <c r="AG121" s="71"/>
      <c r="AH121" s="71"/>
      <c r="AI121" s="71"/>
      <c r="AJ121" s="71"/>
      <c r="AK121" s="71"/>
      <c r="AL121" s="71"/>
      <c r="AM121" s="71"/>
      <c r="AN121" s="71"/>
      <c r="AO121" s="71"/>
      <c r="AP121" s="71"/>
      <c r="AQ121" s="71"/>
      <c r="AR121" s="71"/>
      <c r="AS121" s="71"/>
      <c r="AT121" s="71"/>
      <c r="AU121" s="71"/>
      <c r="AV121" s="71"/>
      <c r="AW121" s="71"/>
      <c r="AX121" s="71"/>
      <c r="AY121" s="71"/>
      <c r="AZ121" s="71"/>
      <c r="BA121" s="71"/>
      <c r="BB121" s="71"/>
      <c r="BC121" s="108"/>
      <c r="BD121" s="71"/>
    </row>
    <row r="122" spans="2:57" s="130" customFormat="1" x14ac:dyDescent="0.2">
      <c r="BC122" s="108"/>
    </row>
    <row r="123" spans="2:57" s="130" customFormat="1" x14ac:dyDescent="0.2">
      <c r="BC123" s="108"/>
    </row>
    <row r="124" spans="2:57" s="130" customFormat="1" x14ac:dyDescent="0.2"/>
    <row r="125" spans="2:57" s="130" customFormat="1" ht="11.25" customHeight="1" x14ac:dyDescent="0.2">
      <c r="D125" s="130" t="s">
        <v>78</v>
      </c>
    </row>
    <row r="126" spans="2:57" s="130" customFormat="1" x14ac:dyDescent="0.2"/>
    <row r="127" spans="2:57" s="130" customFormat="1" x14ac:dyDescent="0.2"/>
    <row r="128" spans="2:57" s="130" customFormat="1" x14ac:dyDescent="0.2"/>
    <row r="129" s="130" customFormat="1" x14ac:dyDescent="0.2"/>
    <row r="130" s="130" customFormat="1" x14ac:dyDescent="0.2"/>
    <row r="131" s="130" customFormat="1" x14ac:dyDescent="0.2"/>
    <row r="132" s="130" customFormat="1" x14ac:dyDescent="0.2"/>
    <row r="133" s="130" customFormat="1" x14ac:dyDescent="0.2"/>
    <row r="134" s="130" customFormat="1" x14ac:dyDescent="0.2"/>
    <row r="135" s="130" customFormat="1" x14ac:dyDescent="0.2"/>
    <row r="136" s="130" customFormat="1" x14ac:dyDescent="0.2"/>
    <row r="137" s="130" customFormat="1" x14ac:dyDescent="0.2"/>
  </sheetData>
  <sheetProtection password="DC54" sheet="1" objects="1" scenarios="1"/>
  <mergeCells count="2">
    <mergeCell ref="C5:T5"/>
    <mergeCell ref="C6:T6"/>
  </mergeCells>
  <phoneticPr fontId="2" type="noConversion"/>
  <pageMargins left="0.75" right="0.75" top="1" bottom="1" header="0.5" footer="0.5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BC120"/>
  <sheetViews>
    <sheetView showGridLines="0" showRowColHeaders="0" workbookViewId="0"/>
  </sheetViews>
  <sheetFormatPr defaultRowHeight="12.75" x14ac:dyDescent="0.2"/>
  <cols>
    <col min="1" max="2" width="9.140625" style="46"/>
    <col min="3" max="3" width="1.7109375" style="46" customWidth="1"/>
    <col min="4" max="4" width="9.140625" style="46"/>
    <col min="5" max="5" width="1.7109375" style="46" customWidth="1"/>
    <col min="6" max="6" width="9.140625" style="46"/>
    <col min="7" max="7" width="1.7109375" style="46" customWidth="1"/>
    <col min="8" max="8" width="9.140625" style="46"/>
    <col min="9" max="9" width="1.7109375" style="46" customWidth="1"/>
    <col min="10" max="10" width="9.140625" style="46"/>
    <col min="11" max="11" width="1.7109375" style="46" customWidth="1"/>
    <col min="12" max="12" width="9.140625" style="46"/>
    <col min="13" max="13" width="1.7109375" style="46" customWidth="1"/>
    <col min="14" max="14" width="9.140625" style="46"/>
    <col min="15" max="15" width="1.7109375" style="46" customWidth="1"/>
    <col min="16" max="16" width="9.140625" style="46"/>
    <col min="17" max="17" width="1.7109375" style="46" customWidth="1"/>
    <col min="18" max="18" width="9.140625" style="46"/>
    <col min="19" max="19" width="1.7109375" style="46" customWidth="1"/>
    <col min="20" max="20" width="9.140625" style="46"/>
    <col min="21" max="21" width="1.7109375" style="46" customWidth="1"/>
    <col min="22" max="22" width="9.140625" style="46"/>
    <col min="23" max="23" width="1.7109375" style="46" customWidth="1"/>
    <col min="24" max="24" width="9.140625" style="46"/>
    <col min="25" max="25" width="1.7109375" style="46" customWidth="1"/>
    <col min="26" max="26" width="9.140625" style="46"/>
    <col min="27" max="27" width="1.7109375" style="46" customWidth="1"/>
    <col min="28" max="28" width="9.140625" style="46"/>
    <col min="29" max="29" width="1.7109375" style="46" customWidth="1"/>
    <col min="30" max="30" width="9.140625" style="46"/>
    <col min="31" max="31" width="1.7109375" style="46" customWidth="1"/>
    <col min="32" max="32" width="9.140625" style="46"/>
    <col min="33" max="33" width="1.7109375" style="46" customWidth="1"/>
    <col min="34" max="34" width="9.140625" style="46"/>
    <col min="35" max="35" width="1.7109375" style="46" customWidth="1"/>
    <col min="36" max="36" width="9.140625" style="46"/>
    <col min="37" max="37" width="1.7109375" style="46" customWidth="1"/>
    <col min="38" max="38" width="9.140625" style="46"/>
    <col min="39" max="39" width="1.7109375" style="46" customWidth="1"/>
    <col min="40" max="40" width="9.140625" style="46"/>
    <col min="41" max="41" width="1.7109375" style="46" customWidth="1"/>
    <col min="42" max="42" width="9.140625" style="46"/>
    <col min="43" max="43" width="1.7109375" style="46" customWidth="1"/>
    <col min="44" max="44" width="9.140625" style="46"/>
    <col min="45" max="45" width="1.7109375" style="46" customWidth="1"/>
    <col min="46" max="46" width="9.140625" style="46"/>
    <col min="47" max="47" width="1.7109375" style="46" customWidth="1"/>
    <col min="48" max="48" width="9.140625" style="46"/>
    <col min="49" max="49" width="1.7109375" style="46" customWidth="1"/>
    <col min="50" max="50" width="9.140625" style="46"/>
    <col min="51" max="51" width="1.7109375" style="46" customWidth="1"/>
    <col min="52" max="52" width="9.140625" style="46"/>
    <col min="53" max="53" width="1.7109375" style="46" customWidth="1"/>
    <col min="54" max="16384" width="9.140625" style="46"/>
  </cols>
  <sheetData>
    <row r="5" spans="1:54" x14ac:dyDescent="0.2">
      <c r="N5" s="128" t="s">
        <v>0</v>
      </c>
      <c r="O5" s="128"/>
      <c r="P5" s="128" t="s">
        <v>1</v>
      </c>
      <c r="Q5" s="128"/>
      <c r="R5" s="128" t="s">
        <v>2</v>
      </c>
      <c r="S5" s="128"/>
      <c r="T5" s="128" t="s">
        <v>3</v>
      </c>
      <c r="U5" s="128"/>
      <c r="V5" s="128" t="s">
        <v>4</v>
      </c>
      <c r="W5" s="128"/>
      <c r="X5" s="128" t="s">
        <v>10</v>
      </c>
      <c r="Y5" s="128"/>
      <c r="Z5" s="128" t="s">
        <v>5</v>
      </c>
      <c r="AA5" s="128"/>
      <c r="AB5" s="128" t="s">
        <v>11</v>
      </c>
      <c r="AC5" s="128"/>
      <c r="AD5" s="128"/>
      <c r="AE5" s="128"/>
      <c r="AF5" s="128"/>
      <c r="AG5" s="128"/>
      <c r="AH5" s="128"/>
      <c r="AI5" s="128"/>
      <c r="AJ5" s="128"/>
      <c r="AK5" s="128"/>
    </row>
    <row r="6" spans="1:54" x14ac:dyDescent="0.2">
      <c r="N6" s="128">
        <f>Stock!O2</f>
        <v>400</v>
      </c>
      <c r="O6" s="128"/>
      <c r="P6" s="128">
        <f>Stock!Q2</f>
        <v>1.0447376961940817</v>
      </c>
      <c r="Q6" s="128"/>
      <c r="R6" s="128">
        <f>1/P6</f>
        <v>0.95717805880168916</v>
      </c>
      <c r="S6" s="128"/>
      <c r="T6" s="128">
        <f>Stock!U2</f>
        <v>26</v>
      </c>
      <c r="U6" s="128"/>
      <c r="V6" s="128">
        <f>Stock!W2</f>
        <v>400</v>
      </c>
      <c r="W6" s="128"/>
      <c r="X6" s="128">
        <f>Inputs!C51</f>
        <v>1.9230769230769232E-2</v>
      </c>
      <c r="Y6" s="128"/>
      <c r="Z6" s="128">
        <f>Inputs!C54</f>
        <v>1.000661784781395</v>
      </c>
      <c r="AA6" s="128"/>
      <c r="AB6" s="128">
        <f>Inputs!C55</f>
        <v>0.4966183880460408</v>
      </c>
      <c r="AC6" s="128"/>
      <c r="AD6" s="128"/>
      <c r="AE6" s="128"/>
      <c r="AF6" s="128"/>
      <c r="AG6" s="128"/>
      <c r="AH6" s="128"/>
      <c r="AI6" s="128"/>
      <c r="AJ6" s="128"/>
      <c r="AK6" s="128"/>
    </row>
    <row r="7" spans="1:54" x14ac:dyDescent="0.2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</row>
    <row r="8" spans="1:54" x14ac:dyDescent="0.2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</row>
    <row r="9" spans="1:54" x14ac:dyDescent="0.2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</row>
    <row r="10" spans="1:54" x14ac:dyDescent="0.2">
      <c r="A10" s="3" t="s">
        <v>12</v>
      </c>
      <c r="B10" s="3">
        <v>0</v>
      </c>
      <c r="C10" s="3"/>
      <c r="D10" s="3">
        <v>1</v>
      </c>
      <c r="E10" s="3"/>
      <c r="F10" s="3">
        <f>IF(D10&lt;$T$6,D10+1,"")</f>
        <v>2</v>
      </c>
      <c r="G10" s="3"/>
      <c r="H10" s="3">
        <f>IF(F10&lt;$T$6,F10+1,"")</f>
        <v>3</v>
      </c>
      <c r="I10" s="3"/>
      <c r="J10" s="3">
        <f>IF(H10&lt;$T$6,H10+1,"")</f>
        <v>4</v>
      </c>
      <c r="K10" s="3"/>
      <c r="L10" s="3">
        <f>IF(J10&lt;$T$6,J10+1,"")</f>
        <v>5</v>
      </c>
      <c r="M10" s="3"/>
      <c r="N10" s="3">
        <f>IF(L10&lt;$T$6,L10+1,"")</f>
        <v>6</v>
      </c>
      <c r="O10" s="3"/>
      <c r="P10" s="3">
        <f>IF(N10&lt;$T$6,N10+1,"")</f>
        <v>7</v>
      </c>
      <c r="Q10" s="3"/>
      <c r="R10" s="3">
        <f>IF(P10&lt;$T$6,P10+1,"")</f>
        <v>8</v>
      </c>
      <c r="S10" s="3"/>
      <c r="T10" s="3">
        <f>IF(R10&lt;$T$6,R10+1,"")</f>
        <v>9</v>
      </c>
      <c r="U10" s="3"/>
      <c r="V10" s="3">
        <f>IF(T10&lt;$T$6,T10+1,"")</f>
        <v>10</v>
      </c>
      <c r="W10" s="3"/>
      <c r="X10" s="3">
        <f>IF(V10&lt;$T$6,V10+1,"")</f>
        <v>11</v>
      </c>
      <c r="Y10" s="3"/>
      <c r="Z10" s="3">
        <f>IF(X10&lt;$T$6,X10+1,"")</f>
        <v>12</v>
      </c>
      <c r="AA10" s="3"/>
      <c r="AB10" s="3">
        <f>IF(Z10&lt;$T$6,Z10+1,"")</f>
        <v>13</v>
      </c>
      <c r="AC10" s="3"/>
      <c r="AD10" s="3">
        <f>IF(AB10&lt;$T$6,AB10+1,"")</f>
        <v>14</v>
      </c>
      <c r="AE10" s="3"/>
      <c r="AF10" s="3">
        <f>IF(AD10&lt;$T$6,AD10+1,"")</f>
        <v>15</v>
      </c>
      <c r="AG10" s="3"/>
      <c r="AH10" s="3">
        <f>IF(AF10&lt;$T$6,AF10+1,"")</f>
        <v>16</v>
      </c>
      <c r="AI10" s="3"/>
      <c r="AJ10" s="3">
        <f>IF(AH10&lt;$T$6,AH10+1,"")</f>
        <v>17</v>
      </c>
      <c r="AK10" s="3"/>
      <c r="AL10" s="3">
        <f>IF(AJ10&lt;$T$6,AJ10+1,"")</f>
        <v>18</v>
      </c>
      <c r="AM10" s="3"/>
      <c r="AN10" s="3">
        <f>IF(AL10&lt;$T$6,AL10+1,"")</f>
        <v>19</v>
      </c>
      <c r="AO10" s="3"/>
      <c r="AP10" s="3">
        <f>IF(AN10&lt;$T$6,AN10+1,"")</f>
        <v>20</v>
      </c>
      <c r="AQ10" s="3"/>
      <c r="AR10" s="3">
        <f>IF(AP10&lt;$T$6,AP10+1,"")</f>
        <v>21</v>
      </c>
      <c r="AS10" s="3"/>
      <c r="AT10" s="3">
        <f>IF(AR10&lt;$T$6,AR10+1,"")</f>
        <v>22</v>
      </c>
      <c r="AU10" s="3"/>
      <c r="AV10" s="3">
        <f>IF(AT10&lt;$T$6,AT10+1,"")</f>
        <v>23</v>
      </c>
      <c r="AW10" s="3"/>
      <c r="AX10" s="3">
        <f>IF(AV10&lt;$T$6,AV10+1,"")</f>
        <v>24</v>
      </c>
      <c r="AY10" s="3"/>
      <c r="AZ10" s="3">
        <f>IF(AX10&lt;$T$6,AX10+1,"")</f>
        <v>25</v>
      </c>
      <c r="BA10" s="3"/>
      <c r="BB10" s="3">
        <f>IF(AZ10&lt;$T$6,AZ10+1,"")</f>
        <v>26</v>
      </c>
    </row>
    <row r="11" spans="1:54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</row>
    <row r="12" spans="1:54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</row>
    <row r="13" spans="1:54" x14ac:dyDescent="0.2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</row>
    <row r="14" spans="1:54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>
        <f>IF(BB$10=$T$6,MAX($V$6-Stock!BC11,0),IF(BB$10&lt;$T$6,($AB$6*(BC13-BC16)+BC16)/$Z$6,""))</f>
        <v>400</v>
      </c>
    </row>
    <row r="15" spans="1:54" ht="14.25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13" t="s">
        <v>38</v>
      </c>
      <c r="BB15" s="2"/>
    </row>
    <row r="16" spans="1:54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>
        <f>IF(AZ$10=$T$6,MAX($V$6-Stock!BA12,0),IF(AZ$10&lt;$T$6,($AB$6*(BB14-BB18)+BB18)/$Z$6,""))</f>
        <v>198.51598036374787</v>
      </c>
      <c r="BA16" s="8"/>
      <c r="BB16" s="2"/>
    </row>
    <row r="17" spans="1:54" ht="14.25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13" t="s">
        <v>38</v>
      </c>
      <c r="AZ17" s="2"/>
      <c r="BA17" s="14" t="s">
        <v>38</v>
      </c>
      <c r="BB17" s="2"/>
    </row>
    <row r="18" spans="1:54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>
        <f>IF(AX$10=$T$6,MAX($V$6-Stock!AY18,0),IF(AX$10&lt;$T$6,($AB$6*(AZ16-AZ20)+AZ20)/$Z$6,""))</f>
        <v>98.521486149449842</v>
      </c>
      <c r="AY18" s="8"/>
      <c r="AZ18" s="2"/>
      <c r="BA18" s="2"/>
      <c r="BB18" s="2">
        <f>IF(BB$10=$T$6,MAX($V$6-Stock!BC18,0),IF(BB$10&lt;$T$6,($AB$6*(BC16-BC20)+BC20)/$Z$6,""))</f>
        <v>0</v>
      </c>
    </row>
    <row r="19" spans="1:54" ht="14.25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13" t="s">
        <v>38</v>
      </c>
      <c r="AX19" s="2"/>
      <c r="AY19" s="14" t="s">
        <v>38</v>
      </c>
      <c r="AZ19" s="2"/>
      <c r="BA19" s="13" t="s">
        <v>38</v>
      </c>
      <c r="BB19" s="2"/>
    </row>
    <row r="20" spans="1:54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>
        <f>IF(AV$10=$T$6,MAX($V$6-Stock!AW20,0),IF(AV$10&lt;$T$6,($AB$6*(AX18-AX22)+AX22)/$Z$6,""))</f>
        <v>48.895223524628605</v>
      </c>
      <c r="AW20" s="8"/>
      <c r="AX20" s="2"/>
      <c r="AY20" s="2"/>
      <c r="AZ20" s="2">
        <f>IF(AZ$10=$T$6,MAX($V$6-Stock!BA20,0),IF(AZ$10&lt;$T$6,($AB$6*(BB18-BB22)+BB22)/$Z$6,""))</f>
        <v>0</v>
      </c>
      <c r="BA20" s="8"/>
      <c r="BB20" s="2"/>
    </row>
    <row r="21" spans="1:54" ht="14.25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13" t="s">
        <v>38</v>
      </c>
      <c r="AV21" s="2"/>
      <c r="AW21" s="14" t="s">
        <v>38</v>
      </c>
      <c r="AX21" s="2"/>
      <c r="AY21" s="13" t="s">
        <v>38</v>
      </c>
      <c r="AZ21" s="2"/>
      <c r="BA21" s="14" t="s">
        <v>38</v>
      </c>
      <c r="BB21" s="2"/>
    </row>
    <row r="22" spans="1:54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>
        <f>IF(AT$10=$T$6,MAX($V$6-Stock!AU22,0),IF(AT$10&lt;$T$6,($AB$6*(AV20-AV24)+AV24)/$Z$6,""))</f>
        <v>24.26620808274059</v>
      </c>
      <c r="AU22" s="8"/>
      <c r="AV22" s="2"/>
      <c r="AW22" s="2"/>
      <c r="AX22" s="2">
        <f>IF(AX$10=$T$6,MAX($V$6-Stock!AY22,0),IF(AX$10&lt;$T$6,($AB$6*(AZ20-AZ24)+AZ24)/$Z$6,""))</f>
        <v>0</v>
      </c>
      <c r="AY22" s="8"/>
      <c r="AZ22" s="2"/>
      <c r="BA22" s="2"/>
      <c r="BB22" s="2">
        <f>IF(BB$10=$T$6,MAX($V$6-Stock!BC22,0),IF(BB$10&lt;$T$6,($AB$6*(BC20-BC24)+BC24)/$Z$6,""))</f>
        <v>0</v>
      </c>
    </row>
    <row r="23" spans="1:54" ht="14.25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13" t="s">
        <v>38</v>
      </c>
      <c r="AT23" s="2"/>
      <c r="AU23" s="14" t="s">
        <v>38</v>
      </c>
      <c r="AV23" s="2"/>
      <c r="AW23" s="13" t="s">
        <v>38</v>
      </c>
      <c r="AX23" s="2"/>
      <c r="AY23" s="14" t="s">
        <v>38</v>
      </c>
      <c r="AZ23" s="2"/>
      <c r="BA23" s="13" t="s">
        <v>38</v>
      </c>
      <c r="BB23" s="2"/>
    </row>
    <row r="24" spans="1:54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>
        <f>IF(AR$10=$T$6,MAX($V$6-Stock!AS24,0),IF(AR$10&lt;$T$6,($AB$6*(AT22-AT26)+AT26)/$Z$6,""))</f>
        <v>12.043075218139878</v>
      </c>
      <c r="AS24" s="8"/>
      <c r="AT24" s="2"/>
      <c r="AU24" s="2"/>
      <c r="AV24" s="2">
        <f>IF(AV$10=$T$6,MAX($V$6-Stock!AW24,0),IF(AV$10&lt;$T$6,($AB$6*(AX22-AX26)+AX26)/$Z$6,""))</f>
        <v>0</v>
      </c>
      <c r="AW24" s="8"/>
      <c r="AX24" s="2"/>
      <c r="AY24" s="2"/>
      <c r="AZ24" s="2">
        <f>IF(AZ$10=$T$6,MAX($V$6-Stock!BA24,0),IF(AZ$10&lt;$T$6,($AB$6*(BB22-BB26)+BB26)/$Z$6,""))</f>
        <v>0</v>
      </c>
      <c r="BA24" s="8"/>
      <c r="BB24" s="2"/>
    </row>
    <row r="25" spans="1:54" ht="14.25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13" t="s">
        <v>38</v>
      </c>
      <c r="AR25" s="2"/>
      <c r="AS25" s="14" t="s">
        <v>38</v>
      </c>
      <c r="AT25" s="2"/>
      <c r="AU25" s="13" t="s">
        <v>38</v>
      </c>
      <c r="AV25" s="2"/>
      <c r="AW25" s="14" t="s">
        <v>38</v>
      </c>
      <c r="AX25" s="2"/>
      <c r="AY25" s="13" t="s">
        <v>38</v>
      </c>
      <c r="AZ25" s="2"/>
      <c r="BA25" s="14" t="s">
        <v>38</v>
      </c>
      <c r="BB25" s="2"/>
    </row>
    <row r="26" spans="1:54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>
        <f>IF(AP$10=$T$6,MAX($V$6-Stock!AQ26,0),IF(AP$10&lt;$T$6,($AB$6*(AR24-AR28)+AR28)/$Z$6,""))</f>
        <v>5.9768572088084868</v>
      </c>
      <c r="AQ26" s="8"/>
      <c r="AR26" s="2"/>
      <c r="AS26" s="2"/>
      <c r="AT26" s="2">
        <f>IF(AT$10=$T$6,MAX($V$6-Stock!AU26,0),IF(AT$10&lt;$T$6,($AB$6*(AV24-AV28)+AV28)/$Z$6,""))</f>
        <v>0</v>
      </c>
      <c r="AU26" s="8"/>
      <c r="AV26" s="2"/>
      <c r="AW26" s="2"/>
      <c r="AX26" s="2">
        <f>IF(AX$10=$T$6,MAX($V$6-Stock!AY26,0),IF(AX$10&lt;$T$6,($AB$6*(AZ24-AZ28)+AZ28)/$Z$6,""))</f>
        <v>0</v>
      </c>
      <c r="AY26" s="8"/>
      <c r="AZ26" s="2"/>
      <c r="BA26" s="2"/>
      <c r="BB26" s="2">
        <f>IF(BB$10=$T$6,MAX($V$6-Stock!BC26,0),IF(BB$10&lt;$T$6,($AB$6*(BC24-BC28)+BC28)/$Z$6,""))</f>
        <v>0</v>
      </c>
    </row>
    <row r="27" spans="1:54" ht="14.25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13" t="s">
        <v>38</v>
      </c>
      <c r="AP27" s="2"/>
      <c r="AQ27" s="14" t="s">
        <v>38</v>
      </c>
      <c r="AR27" s="2"/>
      <c r="AS27" s="13" t="s">
        <v>38</v>
      </c>
      <c r="AT27" s="2"/>
      <c r="AU27" s="14" t="s">
        <v>38</v>
      </c>
      <c r="AV27" s="2"/>
      <c r="AW27" s="13" t="s">
        <v>38</v>
      </c>
      <c r="AX27" s="2"/>
      <c r="AY27" s="14" t="s">
        <v>38</v>
      </c>
      <c r="AZ27" s="2"/>
      <c r="BA27" s="13" t="s">
        <v>38</v>
      </c>
      <c r="BB27" s="2"/>
    </row>
    <row r="28" spans="1:54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>
        <f>IF(AN$10=$T$6,MAX($V$6-Stock!AO28,0),IF(AN$10&lt;$T$6,($AB$6*(AP26-AP30)+AP30)/$Z$6,""))</f>
        <v>2.9662541707518764</v>
      </c>
      <c r="AO28" s="8"/>
      <c r="AP28" s="2"/>
      <c r="AQ28" s="2"/>
      <c r="AR28" s="2">
        <f>IF(AR$10=$T$6,MAX($V$6-Stock!AS28,0),IF(AR$10&lt;$T$6,($AB$6*(AT26-AT30)+AT30)/$Z$6,""))</f>
        <v>0</v>
      </c>
      <c r="AS28" s="8"/>
      <c r="AT28" s="2"/>
      <c r="AU28" s="2"/>
      <c r="AV28" s="2">
        <f>IF(AV$10=$T$6,MAX($V$6-Stock!AW28,0),IF(AV$10&lt;$T$6,($AB$6*(AX26-AX30)+AX30)/$Z$6,""))</f>
        <v>0</v>
      </c>
      <c r="AW28" s="8"/>
      <c r="AX28" s="2"/>
      <c r="AY28" s="2"/>
      <c r="AZ28" s="2">
        <f>IF(AZ$10=$T$6,MAX($V$6-Stock!BA28,0),IF(AZ$10&lt;$T$6,($AB$6*(BB26-BB30)+BB30)/$Z$6,""))</f>
        <v>0</v>
      </c>
      <c r="BA28" s="8"/>
      <c r="BB28" s="2"/>
    </row>
    <row r="29" spans="1:54" ht="14.25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13" t="s">
        <v>38</v>
      </c>
      <c r="AN29" s="2"/>
      <c r="AO29" s="14" t="s">
        <v>38</v>
      </c>
      <c r="AP29" s="2"/>
      <c r="AQ29" s="13" t="s">
        <v>38</v>
      </c>
      <c r="AR29" s="2"/>
      <c r="AS29" s="14" t="s">
        <v>38</v>
      </c>
      <c r="AT29" s="2"/>
      <c r="AU29" s="13" t="s">
        <v>38</v>
      </c>
      <c r="AV29" s="2"/>
      <c r="AW29" s="14" t="s">
        <v>38</v>
      </c>
      <c r="AX29" s="2"/>
      <c r="AY29" s="13" t="s">
        <v>38</v>
      </c>
      <c r="AZ29" s="2"/>
      <c r="BA29" s="14" t="s">
        <v>38</v>
      </c>
      <c r="BB29" s="2"/>
    </row>
    <row r="30" spans="1:54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>
        <f>IF(AL$10=$T$6,MAX($V$6-Stock!AM30,0),IF(AL$10&lt;$T$6,($AB$6*(AN28-AN32)+AN32)/$Z$6,""))</f>
        <v>1.472122136787162</v>
      </c>
      <c r="AM30" s="8"/>
      <c r="AN30" s="2"/>
      <c r="AO30" s="2"/>
      <c r="AP30" s="2">
        <f>IF(AP$10=$T$6,MAX($V$6-Stock!AQ30,0),IF(AP$10&lt;$T$6,($AB$6*(AR28-AR32)+AR32)/$Z$6,""))</f>
        <v>0</v>
      </c>
      <c r="AQ30" s="8"/>
      <c r="AR30" s="2"/>
      <c r="AS30" s="2"/>
      <c r="AT30" s="2">
        <f>IF(AT$10=$T$6,MAX($V$6-Stock!AU30,0),IF(AT$10&lt;$T$6,($AB$6*(AV28-AV32)+AV32)/$Z$6,""))</f>
        <v>0</v>
      </c>
      <c r="AU30" s="8"/>
      <c r="AV30" s="2"/>
      <c r="AW30" s="2"/>
      <c r="AX30" s="2">
        <f>IF(AX$10=$T$6,MAX($V$6-Stock!AY30,0),IF(AX$10&lt;$T$6,($AB$6*(AZ28-AZ32)+AZ32)/$Z$6,""))</f>
        <v>0</v>
      </c>
      <c r="AY30" s="8"/>
      <c r="AZ30" s="2"/>
      <c r="BA30" s="2"/>
      <c r="BB30" s="2">
        <f>IF(BB$10=$T$6,MAX($V$6-Stock!BC30,0),IF(BB$10&lt;$T$6,($AB$6*(BC28-BC32)+BC32)/$Z$6,""))</f>
        <v>0</v>
      </c>
    </row>
    <row r="31" spans="1:54" ht="14.25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13" t="s">
        <v>38</v>
      </c>
      <c r="AL31" s="2"/>
      <c r="AM31" s="14" t="s">
        <v>38</v>
      </c>
      <c r="AN31" s="2"/>
      <c r="AO31" s="13" t="s">
        <v>38</v>
      </c>
      <c r="AP31" s="2"/>
      <c r="AQ31" s="14" t="s">
        <v>38</v>
      </c>
      <c r="AR31" s="2"/>
      <c r="AS31" s="13" t="s">
        <v>38</v>
      </c>
      <c r="AT31" s="2"/>
      <c r="AU31" s="14" t="s">
        <v>38</v>
      </c>
      <c r="AV31" s="2"/>
      <c r="AW31" s="13" t="s">
        <v>38</v>
      </c>
      <c r="AX31" s="2"/>
      <c r="AY31" s="14" t="s">
        <v>38</v>
      </c>
      <c r="AZ31" s="2"/>
      <c r="BA31" s="13" t="s">
        <v>38</v>
      </c>
      <c r="BB31" s="2"/>
    </row>
    <row r="32" spans="1:54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>
        <f>IF(AJ$10=$T$6,MAX($V$6-Stock!AK32,0),IF(AJ$10&lt;$T$6,($AB$6*(AL30-AL34)+AL34)/$Z$6,""))</f>
        <v>0.73059942299869707</v>
      </c>
      <c r="AK32" s="8"/>
      <c r="AL32" s="2"/>
      <c r="AM32" s="2"/>
      <c r="AN32" s="2">
        <f>IF(AN$10=$T$6,MAX($V$6-Stock!AO32,0),IF(AN$10&lt;$T$6,($AB$6*(AP30-AP34)+AP34)/$Z$6,""))</f>
        <v>0</v>
      </c>
      <c r="AO32" s="8"/>
      <c r="AP32" s="2"/>
      <c r="AQ32" s="2"/>
      <c r="AR32" s="2">
        <f>IF(AR$10=$T$6,MAX($V$6-Stock!AS32,0),IF(AR$10&lt;$T$6,($AB$6*(AT30-AT34)+AT34)/$Z$6,""))</f>
        <v>0</v>
      </c>
      <c r="AS32" s="8"/>
      <c r="AT32" s="2"/>
      <c r="AU32" s="2"/>
      <c r="AV32" s="2">
        <f>IF(AV$10=$T$6,MAX($V$6-Stock!AW32,0),IF(AV$10&lt;$T$6,($AB$6*(AX30-AX34)+AX34)/$Z$6,""))</f>
        <v>0</v>
      </c>
      <c r="AW32" s="8"/>
      <c r="AX32" s="2"/>
      <c r="AY32" s="2"/>
      <c r="AZ32" s="2">
        <f>IF(AZ$10=$T$6,MAX($V$6-Stock!BA32,0),IF(AZ$10&lt;$T$6,($AB$6*(BB30-BB34)+BB34)/$Z$6,""))</f>
        <v>0</v>
      </c>
      <c r="BA32" s="8"/>
      <c r="BB32" s="2"/>
    </row>
    <row r="33" spans="1:55" ht="14.25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13" t="s">
        <v>38</v>
      </c>
      <c r="AJ33" s="2"/>
      <c r="AK33" s="14" t="s">
        <v>38</v>
      </c>
      <c r="AL33" s="2"/>
      <c r="AM33" s="13" t="s">
        <v>38</v>
      </c>
      <c r="AN33" s="2"/>
      <c r="AO33" s="14" t="s">
        <v>38</v>
      </c>
      <c r="AP33" s="2"/>
      <c r="AQ33" s="13" t="s">
        <v>38</v>
      </c>
      <c r="AR33" s="2"/>
      <c r="AS33" s="14" t="s">
        <v>38</v>
      </c>
      <c r="AT33" s="2"/>
      <c r="AU33" s="13" t="s">
        <v>38</v>
      </c>
      <c r="AV33" s="2"/>
      <c r="AW33" s="14" t="s">
        <v>38</v>
      </c>
      <c r="AX33" s="2"/>
      <c r="AY33" s="13" t="s">
        <v>38</v>
      </c>
      <c r="AZ33" s="2"/>
      <c r="BA33" s="14" t="s">
        <v>38</v>
      </c>
      <c r="BB33" s="2"/>
    </row>
    <row r="34" spans="1:55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>
        <f>IF(AH$10=$T$6,MAX($V$6-Stock!AI34,0),IF(AH$10&lt;$T$6,($AB$6*(AJ32-AJ36)+AJ36)/$Z$6,""))</f>
        <v>0.36258915177443723</v>
      </c>
      <c r="AI34" s="8"/>
      <c r="AJ34" s="2"/>
      <c r="AK34" s="2"/>
      <c r="AL34" s="2">
        <f>IF(AL$10=$T$6,MAX($V$6-Stock!AM34,0),IF(AL$10&lt;$T$6,($AB$6*(AN32-AN36)+AN36)/$Z$6,""))</f>
        <v>0</v>
      </c>
      <c r="AM34" s="8"/>
      <c r="AN34" s="2"/>
      <c r="AO34" s="2"/>
      <c r="AP34" s="2">
        <f>IF(AP$10=$T$6,MAX($V$6-Stock!AQ34,0),IF(AP$10&lt;$T$6,($AB$6*(AR32-AR36)+AR36)/$Z$6,""))</f>
        <v>0</v>
      </c>
      <c r="AQ34" s="8"/>
      <c r="AR34" s="2"/>
      <c r="AS34" s="2"/>
      <c r="AT34" s="2">
        <f>IF(AT$10=$T$6,MAX($V$6-Stock!AU34,0),IF(AT$10&lt;$T$6,($AB$6*(AV32-AV36)+AV36)/$Z$6,""))</f>
        <v>0</v>
      </c>
      <c r="AU34" s="8"/>
      <c r="AV34" s="2"/>
      <c r="AW34" s="2"/>
      <c r="AX34" s="2">
        <f>IF(AX$10=$T$6,MAX($V$6-Stock!AY34,0),IF(AX$10&lt;$T$6,($AB$6*(AZ32-AZ36)+AZ36)/$Z$6,""))</f>
        <v>0</v>
      </c>
      <c r="AY34" s="8"/>
      <c r="AZ34" s="2"/>
      <c r="BA34" s="2"/>
      <c r="BB34" s="2">
        <f>IF(BB$10=$T$6,MAX($V$6-Stock!BC34,0),IF(BB$10&lt;$T$6,($AB$6*(BC32-BC36)+BC36)/$Z$6,""))</f>
        <v>0</v>
      </c>
    </row>
    <row r="35" spans="1:55" ht="14.25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13" t="s">
        <v>38</v>
      </c>
      <c r="AH35" s="2"/>
      <c r="AI35" s="14" t="s">
        <v>38</v>
      </c>
      <c r="AJ35" s="2"/>
      <c r="AK35" s="13" t="s">
        <v>38</v>
      </c>
      <c r="AL35" s="2"/>
      <c r="AM35" s="14" t="s">
        <v>38</v>
      </c>
      <c r="AN35" s="2"/>
      <c r="AO35" s="13" t="s">
        <v>38</v>
      </c>
      <c r="AP35" s="2"/>
      <c r="AQ35" s="14" t="s">
        <v>38</v>
      </c>
      <c r="AR35" s="2"/>
      <c r="AS35" s="13" t="s">
        <v>38</v>
      </c>
      <c r="AT35" s="2"/>
      <c r="AU35" s="14" t="s">
        <v>38</v>
      </c>
      <c r="AV35" s="2"/>
      <c r="AW35" s="13" t="s">
        <v>38</v>
      </c>
      <c r="AX35" s="2"/>
      <c r="AY35" s="14" t="s">
        <v>38</v>
      </c>
      <c r="AZ35" s="2"/>
      <c r="BA35" s="13" t="s">
        <v>38</v>
      </c>
      <c r="BB35" s="2"/>
    </row>
    <row r="36" spans="1:55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>
        <f>IF(AF$10=$T$6,MAX($V$6-Stock!AG36,0),IF(AF$10&lt;$T$6,($AB$6*(AH34-AH38)+AH38)/$Z$6,""))</f>
        <v>0.17994935233440548</v>
      </c>
      <c r="AG36" s="8"/>
      <c r="AH36" s="2"/>
      <c r="AI36" s="2"/>
      <c r="AJ36" s="2">
        <f>IF(AJ$10=$T$6,MAX($V$6-Stock!AK36,0),IF(AJ$10&lt;$T$6,($AB$6*(AL34-AL38)+AL38)/$Z$6,""))</f>
        <v>0</v>
      </c>
      <c r="AK36" s="8"/>
      <c r="AL36" s="2"/>
      <c r="AM36" s="2"/>
      <c r="AN36" s="2">
        <f>IF(AN$10=$T$6,MAX($V$6-Stock!AO36,0),IF(AN$10&lt;$T$6,($AB$6*(AP34-AP38)+AP38)/$Z$6,""))</f>
        <v>0</v>
      </c>
      <c r="AO36" s="8"/>
      <c r="AP36" s="2"/>
      <c r="AQ36" s="2"/>
      <c r="AR36" s="2">
        <f>IF(AR$10=$T$6,MAX($V$6-Stock!AS36,0),IF(AR$10&lt;$T$6,($AB$6*(AT34-AT38)+AT38)/$Z$6,""))</f>
        <v>0</v>
      </c>
      <c r="AS36" s="8"/>
      <c r="AT36" s="2"/>
      <c r="AU36" s="2"/>
      <c r="AV36" s="2">
        <f>IF(AV$10=$T$6,MAX($V$6-Stock!AW36,0),IF(AV$10&lt;$T$6,($AB$6*(AX34-AX38)+AX38)/$Z$6,""))</f>
        <v>0</v>
      </c>
      <c r="AW36" s="8"/>
      <c r="AX36" s="2"/>
      <c r="AY36" s="2"/>
      <c r="AZ36" s="2">
        <f>IF(AZ$10=$T$6,MAX($V$6-Stock!BA36,0),IF(AZ$10&lt;$T$6,($AB$6*(BB34-BB38)+BB38)/$Z$6,""))</f>
        <v>0</v>
      </c>
      <c r="BA36" s="8"/>
      <c r="BB36" s="2"/>
    </row>
    <row r="37" spans="1:55" ht="14.2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13" t="s">
        <v>38</v>
      </c>
      <c r="AF37" s="2"/>
      <c r="AG37" s="14" t="s">
        <v>38</v>
      </c>
      <c r="AH37" s="2"/>
      <c r="AI37" s="13" t="s">
        <v>38</v>
      </c>
      <c r="AJ37" s="2"/>
      <c r="AK37" s="14" t="s">
        <v>38</v>
      </c>
      <c r="AL37" s="2"/>
      <c r="AM37" s="13" t="s">
        <v>38</v>
      </c>
      <c r="AN37" s="2"/>
      <c r="AO37" s="14" t="s">
        <v>38</v>
      </c>
      <c r="AP37" s="2"/>
      <c r="AQ37" s="13" t="s">
        <v>38</v>
      </c>
      <c r="AR37" s="2"/>
      <c r="AS37" s="14" t="s">
        <v>38</v>
      </c>
      <c r="AT37" s="2"/>
      <c r="AU37" s="13" t="s">
        <v>38</v>
      </c>
      <c r="AV37" s="2"/>
      <c r="AW37" s="14" t="s">
        <v>38</v>
      </c>
      <c r="AX37" s="2"/>
      <c r="AY37" s="13" t="s">
        <v>38</v>
      </c>
      <c r="AZ37" s="2"/>
      <c r="BA37" s="14" t="s">
        <v>38</v>
      </c>
      <c r="BB37" s="2"/>
    </row>
    <row r="38" spans="1:55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>
        <f>IF(AD$10=$T$6,MAX($V$6-Stock!AE38,0),IF(AD$10&lt;$T$6,($AB$6*(AF36-AF40)+AF40)/$Z$6,""))</f>
        <v>8.9307055236214974E-2</v>
      </c>
      <c r="AE38" s="8"/>
      <c r="AF38" s="2"/>
      <c r="AG38" s="2"/>
      <c r="AH38" s="2">
        <f>IF(AH$10=$T$6,MAX($V$6-Stock!AI38,0),IF(AH$10&lt;$T$6,($AB$6*(AJ36-AJ40)+AJ40)/$Z$6,""))</f>
        <v>0</v>
      </c>
      <c r="AI38" s="8"/>
      <c r="AJ38" s="2"/>
      <c r="AK38" s="2"/>
      <c r="AL38" s="2">
        <f>IF(AL$10=$T$6,MAX($V$6-Stock!AM38,0),IF(AL$10&lt;$T$6,($AB$6*(AN36-AN40)+AN40)/$Z$6,""))</f>
        <v>0</v>
      </c>
      <c r="AM38" s="8"/>
      <c r="AN38" s="2"/>
      <c r="AO38" s="2"/>
      <c r="AP38" s="2">
        <f>IF(AP$10=$T$6,MAX($V$6-Stock!AQ38,0),IF(AP$10&lt;$T$6,($AB$6*(AR36-AR40)+AR40)/$Z$6,""))</f>
        <v>0</v>
      </c>
      <c r="AQ38" s="8"/>
      <c r="AR38" s="2"/>
      <c r="AS38" s="2"/>
      <c r="AT38" s="2">
        <f>IF(AT$10=$T$6,MAX($V$6-Stock!AU38,0),IF(AT$10&lt;$T$6,($AB$6*(AV36-AV40)+AV40)/$Z$6,""))</f>
        <v>0</v>
      </c>
      <c r="AU38" s="8"/>
      <c r="AV38" s="2"/>
      <c r="AW38" s="2"/>
      <c r="AX38" s="2">
        <f>IF(AX$10=$T$6,MAX($V$6-Stock!AY38,0),IF(AX$10&lt;$T$6,($AB$6*(AZ36-AZ40)+AZ40)/$Z$6,""))</f>
        <v>0</v>
      </c>
      <c r="AY38" s="8"/>
      <c r="AZ38" s="2"/>
      <c r="BA38" s="2"/>
      <c r="BB38" s="2">
        <f>IF(BB$10=$T$6,MAX($V$6-Stock!BC38,0),IF(BB$10&lt;$T$6,($AB$6*(BC36-BC40)+BC40)/$Z$6,""))</f>
        <v>0</v>
      </c>
    </row>
    <row r="39" spans="1:55" ht="14.25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13" t="s">
        <v>38</v>
      </c>
      <c r="AD39" s="2"/>
      <c r="AE39" s="14" t="s">
        <v>38</v>
      </c>
      <c r="AF39" s="2"/>
      <c r="AG39" s="13" t="s">
        <v>38</v>
      </c>
      <c r="AH39" s="2"/>
      <c r="AI39" s="14" t="s">
        <v>38</v>
      </c>
      <c r="AJ39" s="2"/>
      <c r="AK39" s="13" t="s">
        <v>38</v>
      </c>
      <c r="AL39" s="2"/>
      <c r="AM39" s="14" t="s">
        <v>38</v>
      </c>
      <c r="AN39" s="2"/>
      <c r="AO39" s="13" t="s">
        <v>38</v>
      </c>
      <c r="AP39" s="2"/>
      <c r="AQ39" s="14" t="s">
        <v>38</v>
      </c>
      <c r="AR39" s="2"/>
      <c r="AS39" s="13" t="s">
        <v>38</v>
      </c>
      <c r="AT39" s="2"/>
      <c r="AU39" s="14" t="s">
        <v>38</v>
      </c>
      <c r="AV39" s="2"/>
      <c r="AW39" s="13" t="s">
        <v>38</v>
      </c>
      <c r="AX39" s="2"/>
      <c r="AY39" s="14" t="s">
        <v>38</v>
      </c>
      <c r="AZ39" s="2"/>
      <c r="BA39" s="13" t="s">
        <v>38</v>
      </c>
      <c r="BB39" s="2"/>
    </row>
    <row r="40" spans="1:55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>
        <f>IF(AB$10=$T$6,MAX($V$6-Stock!AC40,0),IF(AB$10&lt;$T$6,($AB$6*(AD38-AD42)+AD42)/$Z$6,""))</f>
        <v>4.4322194059041503E-2</v>
      </c>
      <c r="AC40" s="8"/>
      <c r="AD40" s="2"/>
      <c r="AE40" s="2"/>
      <c r="AF40" s="2">
        <f>IF(AF$10=$T$6,MAX($V$6-Stock!AG40,0),IF(AF$10&lt;$T$6,($AB$6*(AH38-AH42)+AH42)/$Z$6,""))</f>
        <v>0</v>
      </c>
      <c r="AG40" s="8"/>
      <c r="AH40" s="2"/>
      <c r="AI40" s="2"/>
      <c r="AJ40" s="2">
        <f>IF(AJ$10=$T$6,MAX($V$6-Stock!AK40,0),IF(AJ$10&lt;$T$6,($AB$6*(AL38-AL42)+AL42)/$Z$6,""))</f>
        <v>0</v>
      </c>
      <c r="AK40" s="8"/>
      <c r="AL40" s="2"/>
      <c r="AM40" s="2"/>
      <c r="AN40" s="2">
        <f>IF(AN$10=$T$6,MAX($V$6-Stock!AO40,0),IF(AN$10&lt;$T$6,($AB$6*(AP38-AP42)+AP42)/$Z$6,""))</f>
        <v>0</v>
      </c>
      <c r="AO40" s="8"/>
      <c r="AP40" s="2"/>
      <c r="AQ40" s="2"/>
      <c r="AR40" s="2">
        <f>IF(AR$10=$T$6,MAX($V$6-Stock!AS40,0),IF(AR$10&lt;$T$6,($AB$6*(AT38-AT42)+AT42)/$Z$6,""))</f>
        <v>0</v>
      </c>
      <c r="AS40" s="8"/>
      <c r="AT40" s="2"/>
      <c r="AU40" s="2"/>
      <c r="AV40" s="2">
        <f>IF(AV$10=$T$6,MAX($V$6-Stock!AW40,0),IF(AV$10&lt;$T$6,($AB$6*(AX38-AX42)+AX42)/$Z$6,""))</f>
        <v>0</v>
      </c>
      <c r="AW40" s="8"/>
      <c r="AX40" s="2"/>
      <c r="AY40" s="2"/>
      <c r="AZ40" s="2">
        <f>IF(AZ$10=$T$6,MAX($V$6-Stock!BA40,0),IF(AZ$10&lt;$T$6,($AB$6*(BB38-BB42)+BB42)/$Z$6,""))</f>
        <v>0</v>
      </c>
      <c r="BA40" s="8"/>
      <c r="BB40" s="2"/>
    </row>
    <row r="41" spans="1:55" ht="14.25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13" t="s">
        <v>38</v>
      </c>
      <c r="AB41" s="2"/>
      <c r="AC41" s="14" t="s">
        <v>38</v>
      </c>
      <c r="AD41" s="2"/>
      <c r="AE41" s="13" t="s">
        <v>38</v>
      </c>
      <c r="AF41" s="2"/>
      <c r="AG41" s="14" t="s">
        <v>38</v>
      </c>
      <c r="AH41" s="2"/>
      <c r="AI41" s="13" t="s">
        <v>38</v>
      </c>
      <c r="AJ41" s="2"/>
      <c r="AK41" s="14" t="s">
        <v>38</v>
      </c>
      <c r="AL41" s="2"/>
      <c r="AM41" s="13" t="s">
        <v>38</v>
      </c>
      <c r="AN41" s="2"/>
      <c r="AO41" s="14" t="s">
        <v>38</v>
      </c>
      <c r="AP41" s="2"/>
      <c r="AQ41" s="13" t="s">
        <v>38</v>
      </c>
      <c r="AR41" s="2"/>
      <c r="AS41" s="14" t="s">
        <v>38</v>
      </c>
      <c r="AT41" s="2"/>
      <c r="AU41" s="13" t="s">
        <v>38</v>
      </c>
      <c r="AV41" s="2"/>
      <c r="AW41" s="14" t="s">
        <v>38</v>
      </c>
      <c r="AX41" s="2"/>
      <c r="AY41" s="13" t="s">
        <v>38</v>
      </c>
      <c r="AZ41" s="2"/>
      <c r="BA41" s="14" t="s">
        <v>38</v>
      </c>
      <c r="BB41" s="2"/>
      <c r="BC41" s="113"/>
    </row>
    <row r="42" spans="1:55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>
        <f>IF(Z$10=$T$6,MAX($V$6-Stock!AA42,0),IF(Z$10&lt;$T$6,($AB$6*(AB40-AB44)+AB44)/$Z$6,""))</f>
        <v>2.4224566927257888E-2</v>
      </c>
      <c r="AA42" s="8"/>
      <c r="AB42" s="2"/>
      <c r="AC42" s="2"/>
      <c r="AD42" s="2">
        <f>IF(AD$10=$T$6,MAX($V$6-Stock!AE42,0),IF(AD$10&lt;$T$6,($AB$6*(AF40-AF44)+AF44)/$Z$6,""))</f>
        <v>0</v>
      </c>
      <c r="AE42" s="8"/>
      <c r="AF42" s="2"/>
      <c r="AG42" s="2"/>
      <c r="AH42" s="2">
        <f>IF(AH$10=$T$6,MAX($V$6-Stock!AI42,0),IF(AH$10&lt;$T$6,($AB$6*(AJ40-AJ44)+AJ44)/$Z$6,""))</f>
        <v>0</v>
      </c>
      <c r="AI42" s="8"/>
      <c r="AJ42" s="2"/>
      <c r="AK42" s="2"/>
      <c r="AL42" s="2">
        <f>IF(AL$10=$T$6,MAX($V$6-Stock!AM42,0),IF(AL$10&lt;$T$6,($AB$6*(AN40-AN44)+AN44)/$Z$6,""))</f>
        <v>0</v>
      </c>
      <c r="AM42" s="8"/>
      <c r="AN42" s="2"/>
      <c r="AO42" s="2"/>
      <c r="AP42" s="2">
        <f>IF(AP$10=$T$6,MAX($V$6-Stock!AQ42,0),IF(AP$10&lt;$T$6,($AB$6*(AR40-AR44)+AR44)/$Z$6,""))</f>
        <v>0</v>
      </c>
      <c r="AQ42" s="8"/>
      <c r="AR42" s="2"/>
      <c r="AS42" s="2"/>
      <c r="AT42" s="2">
        <f>IF(AT$10=$T$6,MAX($V$6-Stock!AU42,0),IF(AT$10&lt;$T$6,($AB$6*(AV40-AV44)+AV44)/$Z$6,""))</f>
        <v>0</v>
      </c>
      <c r="AU42" s="8"/>
      <c r="AV42" s="2"/>
      <c r="AW42" s="2"/>
      <c r="AX42" s="2">
        <f>IF(AX$10=$T$6,MAX($V$6-Stock!AY42,0),IF(AX$10&lt;$T$6,($AB$6*(AZ40-AZ44)+AZ44)/$Z$6,""))</f>
        <v>0</v>
      </c>
      <c r="AY42" s="8"/>
      <c r="AZ42" s="2"/>
      <c r="BA42" s="2"/>
      <c r="BB42" s="2">
        <f>IF(BB$10=$T$6,MAX($V$6-Stock!BC42,0),IF(BB$10&lt;$T$6,($AB$6*(BC40-BC44)+BC44)/$Z$6,""))</f>
        <v>0</v>
      </c>
      <c r="BC42" s="114"/>
    </row>
    <row r="43" spans="1:55" ht="14.25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13" t="s">
        <v>38</v>
      </c>
      <c r="Z43" s="2"/>
      <c r="AA43" s="14" t="s">
        <v>38</v>
      </c>
      <c r="AB43" s="2"/>
      <c r="AC43" s="13" t="s">
        <v>38</v>
      </c>
      <c r="AD43" s="2"/>
      <c r="AE43" s="14" t="s">
        <v>38</v>
      </c>
      <c r="AF43" s="2"/>
      <c r="AG43" s="13" t="s">
        <v>38</v>
      </c>
      <c r="AH43" s="2"/>
      <c r="AI43" s="14" t="s">
        <v>38</v>
      </c>
      <c r="AJ43" s="2"/>
      <c r="AK43" s="13" t="s">
        <v>38</v>
      </c>
      <c r="AL43" s="2"/>
      <c r="AM43" s="14" t="s">
        <v>38</v>
      </c>
      <c r="AN43" s="2"/>
      <c r="AO43" s="13" t="s">
        <v>38</v>
      </c>
      <c r="AP43" s="2"/>
      <c r="AQ43" s="14" t="s">
        <v>38</v>
      </c>
      <c r="AR43" s="2"/>
      <c r="AS43" s="13" t="s">
        <v>38</v>
      </c>
      <c r="AT43" s="2"/>
      <c r="AU43" s="14" t="s">
        <v>38</v>
      </c>
      <c r="AV43" s="2"/>
      <c r="AW43" s="13" t="s">
        <v>38</v>
      </c>
      <c r="AX43" s="2"/>
      <c r="AY43" s="14" t="s">
        <v>38</v>
      </c>
      <c r="AZ43" s="2"/>
      <c r="BA43" s="13" t="s">
        <v>38</v>
      </c>
      <c r="BB43" s="2"/>
      <c r="BC43" s="115"/>
    </row>
    <row r="44" spans="1:55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>
        <f>IF(X$10=$T$6,MAX($V$6-Stock!Y44,0),IF(X$10&lt;$T$6,($AB$6*(Z42-Z46)+Z46)/$Z$6,""))</f>
        <v>2.9649603948263166E-2</v>
      </c>
      <c r="Y44" s="8"/>
      <c r="Z44" s="2"/>
      <c r="AA44" s="2"/>
      <c r="AB44" s="2">
        <f>IF(AB$10=$T$6,MAX($V$6-Stock!AC44,0),IF(AB$10&lt;$T$6,($AB$6*(AD42-AD46)+AD46)/$Z$6,""))</f>
        <v>4.4288105798452231E-3</v>
      </c>
      <c r="AC44" s="8"/>
      <c r="AD44" s="2"/>
      <c r="AE44" s="2"/>
      <c r="AF44" s="2">
        <f>IF(AF$10=$T$6,MAX($V$6-Stock!AG44,0),IF(AF$10&lt;$T$6,($AB$6*(AH42-AH46)+AH46)/$Z$6,""))</f>
        <v>0</v>
      </c>
      <c r="AG44" s="8"/>
      <c r="AH44" s="2"/>
      <c r="AI44" s="2"/>
      <c r="AJ44" s="2">
        <f>IF(AJ$10=$T$6,MAX($V$6-Stock!AK44,0),IF(AJ$10&lt;$T$6,($AB$6*(AL42-AL46)+AL46)/$Z$6,""))</f>
        <v>0</v>
      </c>
      <c r="AK44" s="8"/>
      <c r="AL44" s="2"/>
      <c r="AM44" s="2"/>
      <c r="AN44" s="2">
        <f>IF(AN$10=$T$6,MAX($V$6-Stock!AO44,0),IF(AN$10&lt;$T$6,($AB$6*(AP42-AP46)+AP46)/$Z$6,""))</f>
        <v>0</v>
      </c>
      <c r="AO44" s="8"/>
      <c r="AP44" s="2"/>
      <c r="AQ44" s="2"/>
      <c r="AR44" s="2">
        <f>IF(AR$10=$T$6,MAX($V$6-Stock!AS44,0),IF(AR$10&lt;$T$6,($AB$6*(AT42-AT46)+AT46)/$Z$6,""))</f>
        <v>0</v>
      </c>
      <c r="AS44" s="8"/>
      <c r="AT44" s="2"/>
      <c r="AU44" s="2"/>
      <c r="AV44" s="2">
        <f>IF(AV$10=$T$6,MAX($V$6-Stock!AW44,0),IF(AV$10&lt;$T$6,($AB$6*(AX42-AX46)+AX46)/$Z$6,""))</f>
        <v>0</v>
      </c>
      <c r="AW44" s="8"/>
      <c r="AX44" s="2"/>
      <c r="AY44" s="2"/>
      <c r="AZ44" s="2">
        <f>IF(AZ$10=$T$6,MAX($V$6-Stock!BA44,0),IF(AZ$10&lt;$T$6,($AB$6*(BB42-BB46)+BB46)/$Z$6,""))</f>
        <v>0</v>
      </c>
      <c r="BA44" s="8"/>
      <c r="BB44" s="2"/>
    </row>
    <row r="45" spans="1:55" ht="14.25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13" t="s">
        <v>38</v>
      </c>
      <c r="X45" s="2"/>
      <c r="Y45" s="14" t="s">
        <v>38</v>
      </c>
      <c r="Z45" s="2"/>
      <c r="AA45" s="13" t="s">
        <v>38</v>
      </c>
      <c r="AB45" s="2"/>
      <c r="AC45" s="14" t="s">
        <v>38</v>
      </c>
      <c r="AD45" s="2"/>
      <c r="AE45" s="13" t="s">
        <v>38</v>
      </c>
      <c r="AF45" s="2"/>
      <c r="AG45" s="14" t="s">
        <v>38</v>
      </c>
      <c r="AH45" s="2"/>
      <c r="AI45" s="13" t="s">
        <v>38</v>
      </c>
      <c r="AJ45" s="2"/>
      <c r="AK45" s="14" t="s">
        <v>38</v>
      </c>
      <c r="AL45" s="2"/>
      <c r="AM45" s="13" t="s">
        <v>38</v>
      </c>
      <c r="AN45" s="2"/>
      <c r="AO45" s="14" t="s">
        <v>38</v>
      </c>
      <c r="AP45" s="2"/>
      <c r="AQ45" s="13" t="s">
        <v>38</v>
      </c>
      <c r="AR45" s="2"/>
      <c r="AS45" s="14" t="s">
        <v>38</v>
      </c>
      <c r="AT45" s="2"/>
      <c r="AU45" s="13" t="s">
        <v>38</v>
      </c>
      <c r="AV45" s="2"/>
      <c r="AW45" s="14" t="s">
        <v>38</v>
      </c>
      <c r="AX45" s="2"/>
      <c r="AY45" s="13" t="s">
        <v>38</v>
      </c>
      <c r="AZ45" s="2"/>
      <c r="BA45" s="14" t="s">
        <v>38</v>
      </c>
      <c r="BB45" s="2"/>
    </row>
    <row r="46" spans="1:55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>
        <f>IF(V$10=$T$6,MAX($V$6-Stock!W46,0),IF(V$10&lt;$T$6,($AB$6*(X44-X48)+X48)/$Z$6,""))</f>
        <v>8.9873474089461822E-2</v>
      </c>
      <c r="W46" s="8"/>
      <c r="X46" s="2"/>
      <c r="Y46" s="2"/>
      <c r="Z46" s="2">
        <f>IF(Z$10=$T$6,MAX($V$6-Stock!AA46,0),IF(Z$10&lt;$T$6,($AB$6*(AB44-AB48)+AB48)/$Z$6,""))</f>
        <v>3.5040732135474935E-2</v>
      </c>
      <c r="AA46" s="8"/>
      <c r="AB46" s="2"/>
      <c r="AC46" s="2"/>
      <c r="AD46" s="2">
        <f>IF(AD$10=$T$6,MAX($V$6-Stock!AE46,0),IF(AD$10&lt;$T$6,($AB$6*(AF44-AF48)+AF48)/$Z$6,""))</f>
        <v>8.8039399812085053E-3</v>
      </c>
      <c r="AE46" s="8"/>
      <c r="AF46" s="2"/>
      <c r="AG46" s="2"/>
      <c r="AH46" s="2">
        <f>IF(AH$10=$T$6,MAX($V$6-Stock!AI46,0),IF(AH$10&lt;$T$6,($AB$6*(AJ44-AJ48)+AJ48)/$Z$6,""))</f>
        <v>0</v>
      </c>
      <c r="AI46" s="8"/>
      <c r="AJ46" s="2"/>
      <c r="AK46" s="2"/>
      <c r="AL46" s="2">
        <f>IF(AL$10=$T$6,MAX($V$6-Stock!AM46,0),IF(AL$10&lt;$T$6,($AB$6*(AN44-AN48)+AN48)/$Z$6,""))</f>
        <v>0</v>
      </c>
      <c r="AM46" s="8"/>
      <c r="AN46" s="2"/>
      <c r="AO46" s="2"/>
      <c r="AP46" s="2">
        <f>IF(AP$10=$T$6,MAX($V$6-Stock!AQ46,0),IF(AP$10&lt;$T$6,($AB$6*(AR44-AR48)+AR48)/$Z$6,""))</f>
        <v>0</v>
      </c>
      <c r="AQ46" s="8"/>
      <c r="AR46" s="2"/>
      <c r="AS46" s="2"/>
      <c r="AT46" s="2">
        <f>IF(AT$10=$T$6,MAX($V$6-Stock!AU46,0),IF(AT$10&lt;$T$6,($AB$6*(AV44-AV48)+AV48)/$Z$6,""))</f>
        <v>0</v>
      </c>
      <c r="AU46" s="8"/>
      <c r="AV46" s="2"/>
      <c r="AW46" s="2"/>
      <c r="AX46" s="2">
        <f>IF(AX$10=$T$6,MAX($V$6-Stock!AY46,0),IF(AX$10&lt;$T$6,($AB$6*(AZ44-AZ48)+AZ48)/$Z$6,""))</f>
        <v>0</v>
      </c>
      <c r="AY46" s="8"/>
      <c r="AZ46" s="2"/>
      <c r="BA46" s="2"/>
      <c r="BB46" s="2">
        <f>IF(BB$10=$T$6,MAX($V$6-Stock!BC46,0),IF(BB$10&lt;$T$6,($AB$6*(BC44-BC48)+BC48)/$Z$6,""))</f>
        <v>0</v>
      </c>
    </row>
    <row r="47" spans="1:55" ht="14.25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13" t="s">
        <v>38</v>
      </c>
      <c r="V47" s="2"/>
      <c r="W47" s="14" t="s">
        <v>38</v>
      </c>
      <c r="X47" s="2"/>
      <c r="Y47" s="13" t="s">
        <v>38</v>
      </c>
      <c r="Z47" s="2"/>
      <c r="AA47" s="14" t="s">
        <v>38</v>
      </c>
      <c r="AB47" s="2"/>
      <c r="AC47" s="13" t="s">
        <v>38</v>
      </c>
      <c r="AD47" s="2"/>
      <c r="AE47" s="14" t="s">
        <v>38</v>
      </c>
      <c r="AF47" s="2"/>
      <c r="AG47" s="13" t="s">
        <v>38</v>
      </c>
      <c r="AH47" s="2"/>
      <c r="AI47" s="14" t="s">
        <v>38</v>
      </c>
      <c r="AJ47" s="2"/>
      <c r="AK47" s="13" t="s">
        <v>38</v>
      </c>
      <c r="AL47" s="2"/>
      <c r="AM47" s="14" t="s">
        <v>38</v>
      </c>
      <c r="AN47" s="2"/>
      <c r="AO47" s="13" t="s">
        <v>38</v>
      </c>
      <c r="AP47" s="2"/>
      <c r="AQ47" s="14" t="s">
        <v>38</v>
      </c>
      <c r="AR47" s="2"/>
      <c r="AS47" s="13" t="s">
        <v>38</v>
      </c>
      <c r="AT47" s="2"/>
      <c r="AU47" s="14" t="s">
        <v>38</v>
      </c>
      <c r="AV47" s="2"/>
      <c r="AW47" s="13" t="s">
        <v>38</v>
      </c>
      <c r="AX47" s="2"/>
      <c r="AY47" s="14" t="s">
        <v>38</v>
      </c>
      <c r="AZ47" s="2"/>
      <c r="BA47" s="13" t="s">
        <v>38</v>
      </c>
      <c r="BB47" s="2"/>
    </row>
    <row r="48" spans="1:55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>
        <f>IF(T$10=$T$6,MAX($V$6-Stock!U48,0),IF(T$10&lt;$T$6,($AB$6*(V46-V50)+V50)/$Z$6,""))</f>
        <v>0.27392126553328711</v>
      </c>
      <c r="U48" s="8"/>
      <c r="V48" s="2"/>
      <c r="W48" s="2"/>
      <c r="X48" s="2">
        <f>IF(X$10=$T$6,MAX($V$6-Stock!Y48,0),IF(X$10&lt;$T$6,($AB$6*(Z46-Z50)+Z50)/$Z$6,""))</f>
        <v>0.14940635629486229</v>
      </c>
      <c r="Y48" s="8"/>
      <c r="Z48" s="2"/>
      <c r="AA48" s="2"/>
      <c r="AB48" s="2">
        <f>IF(AB$10=$T$6,MAX($V$6-Stock!AC48,0),IF(AB$10&lt;$T$6,($AB$6*(AD46-AD50)+AD50)/$Z$6,""))</f>
        <v>6.5287432053861019E-2</v>
      </c>
      <c r="AC48" s="8"/>
      <c r="AD48" s="2"/>
      <c r="AE48" s="2"/>
      <c r="AF48" s="2">
        <f>IF(AF$10=$T$6,MAX($V$6-Stock!AG48,0),IF(AF$10&lt;$T$6,($AB$6*(AH46-AH50)+AH50)/$Z$6,""))</f>
        <v>1.7501168269750289E-2</v>
      </c>
      <c r="AG48" s="8"/>
      <c r="AH48" s="2"/>
      <c r="AI48" s="2"/>
      <c r="AJ48" s="2">
        <f>IF(AJ$10=$T$6,MAX($V$6-Stock!AK48,0),IF(AJ$10&lt;$T$6,($AB$6*(AL46-AL50)+AL50)/$Z$6,""))</f>
        <v>0</v>
      </c>
      <c r="AK48" s="8"/>
      <c r="AL48" s="2"/>
      <c r="AM48" s="2"/>
      <c r="AN48" s="2">
        <f>IF(AN$10=$T$6,MAX($V$6-Stock!AO48,0),IF(AN$10&lt;$T$6,($AB$6*(AP46-AP50)+AP50)/$Z$6,""))</f>
        <v>0</v>
      </c>
      <c r="AO48" s="8"/>
      <c r="AP48" s="2"/>
      <c r="AQ48" s="2"/>
      <c r="AR48" s="2">
        <f>IF(AR$10=$T$6,MAX($V$6-Stock!AS48,0),IF(AR$10&lt;$T$6,($AB$6*(AT46-AT50)+AT50)/$Z$6,""))</f>
        <v>0</v>
      </c>
      <c r="AS48" s="8"/>
      <c r="AT48" s="2"/>
      <c r="AU48" s="2"/>
      <c r="AV48" s="2">
        <f>IF(AV$10=$T$6,MAX($V$6-Stock!AW48,0),IF(AV$10&lt;$T$6,($AB$6*(AX46-AX50)+AX50)/$Z$6,""))</f>
        <v>0</v>
      </c>
      <c r="AW48" s="8"/>
      <c r="AX48" s="2"/>
      <c r="AY48" s="2"/>
      <c r="AZ48" s="2">
        <f>IF(AZ$10=$T$6,MAX($V$6-Stock!BA48,0),IF(AZ$10&lt;$T$6,($AB$6*(BB46-BB50)+BB50)/$Z$6,""))</f>
        <v>0</v>
      </c>
      <c r="BA48" s="8"/>
      <c r="BB48" s="2"/>
    </row>
    <row r="49" spans="1:55" ht="14.25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13" t="s">
        <v>38</v>
      </c>
      <c r="T49" s="13"/>
      <c r="U49" s="14" t="s">
        <v>38</v>
      </c>
      <c r="V49" s="2"/>
      <c r="W49" s="13" t="s">
        <v>38</v>
      </c>
      <c r="X49" s="2"/>
      <c r="Y49" s="14" t="s">
        <v>38</v>
      </c>
      <c r="Z49" s="2"/>
      <c r="AA49" s="13" t="s">
        <v>38</v>
      </c>
      <c r="AB49" s="2"/>
      <c r="AC49" s="14" t="s">
        <v>38</v>
      </c>
      <c r="AD49" s="2"/>
      <c r="AE49" s="13" t="s">
        <v>38</v>
      </c>
      <c r="AF49" s="2"/>
      <c r="AG49" s="14" t="s">
        <v>38</v>
      </c>
      <c r="AH49" s="2"/>
      <c r="AI49" s="13" t="s">
        <v>38</v>
      </c>
      <c r="AJ49" s="2"/>
      <c r="AK49" s="14" t="s">
        <v>38</v>
      </c>
      <c r="AL49" s="2"/>
      <c r="AM49" s="13" t="s">
        <v>38</v>
      </c>
      <c r="AN49" s="2"/>
      <c r="AO49" s="14" t="s">
        <v>38</v>
      </c>
      <c r="AP49" s="2"/>
      <c r="AQ49" s="13" t="s">
        <v>38</v>
      </c>
      <c r="AR49" s="2"/>
      <c r="AS49" s="14" t="s">
        <v>38</v>
      </c>
      <c r="AT49" s="2"/>
      <c r="AU49" s="13" t="s">
        <v>38</v>
      </c>
      <c r="AV49" s="2"/>
      <c r="AW49" s="14" t="s">
        <v>38</v>
      </c>
      <c r="AX49" s="2"/>
      <c r="AY49" s="13" t="s">
        <v>38</v>
      </c>
      <c r="AZ49" s="2"/>
      <c r="BA49" s="14" t="s">
        <v>38</v>
      </c>
      <c r="BB49" s="2"/>
      <c r="BC49" s="113"/>
    </row>
    <row r="50" spans="1:55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>
        <f>IF(R$10=$T$6,MAX($V$6-Stock!S50,0),IF(R$10&lt;$T$6,($AB$6*(T48-T52)+T52)/$Z$6,""))</f>
        <v>0.69720566986805976</v>
      </c>
      <c r="S50" s="8"/>
      <c r="T50" s="8"/>
      <c r="U50" s="2"/>
      <c r="V50" s="2">
        <f>IF(V$10=$T$6,MAX($V$6-Stock!W50,0),IF(V$10&lt;$T$6,($AB$6*(X48-X52)+X52)/$Z$6,""))</f>
        <v>0.45585638644404702</v>
      </c>
      <c r="W50" s="8"/>
      <c r="X50" s="2"/>
      <c r="Y50" s="2"/>
      <c r="Z50" s="2">
        <f>IF(Z$10=$T$6,MAX($V$6-Stock!AA50,0),IF(Z$10&lt;$T$6,($AB$6*(AB48-AB52)+AB52)/$Z$6,""))</f>
        <v>0.26243183322856822</v>
      </c>
      <c r="AA50" s="8"/>
      <c r="AB50" s="2"/>
      <c r="AC50" s="2"/>
      <c r="AD50" s="2">
        <f>IF(AD$10=$T$6,MAX($V$6-Stock!AE50,0),IF(AD$10&lt;$T$6,($AB$6*(AF48-AF52)+AF52)/$Z$6,""))</f>
        <v>0.12109786760837066</v>
      </c>
      <c r="AE50" s="8"/>
      <c r="AF50" s="2"/>
      <c r="AG50" s="2"/>
      <c r="AH50" s="2">
        <f>IF(AH$10=$T$6,MAX($V$6-Stock!AI50,0),IF(AH$10&lt;$T$6,($AB$6*(AJ48-AJ52)+AJ52)/$Z$6,""))</f>
        <v>3.4790206596123363E-2</v>
      </c>
      <c r="AI50" s="8"/>
      <c r="AJ50" s="2"/>
      <c r="AK50" s="2"/>
      <c r="AL50" s="2">
        <f>IF(AL$10=$T$6,MAX($V$6-Stock!AM50,0),IF(AL$10&lt;$T$6,($AB$6*(AN48-AN52)+AN52)/$Z$6,""))</f>
        <v>0</v>
      </c>
      <c r="AM50" s="8"/>
      <c r="AN50" s="2"/>
      <c r="AO50" s="2"/>
      <c r="AP50" s="2">
        <f>IF(AP$10=$T$6,MAX($V$6-Stock!AQ50,0),IF(AP$10&lt;$T$6,($AB$6*(AR48-AR52)+AR52)/$Z$6,""))</f>
        <v>0</v>
      </c>
      <c r="AQ50" s="8"/>
      <c r="AR50" s="2"/>
      <c r="AS50" s="2"/>
      <c r="AT50" s="2">
        <f>IF(AT$10=$T$6,MAX($V$6-Stock!AU50,0),IF(AT$10&lt;$T$6,($AB$6*(AV48-AV52)+AV52)/$Z$6,""))</f>
        <v>0</v>
      </c>
      <c r="AU50" s="8"/>
      <c r="AV50" s="2"/>
      <c r="AW50" s="2"/>
      <c r="AX50" s="2">
        <f>IF(AX$10=$T$6,MAX($V$6-Stock!AY50,0),IF(AX$10&lt;$T$6,($AB$6*(AZ48-AZ52)+AZ52)/$Z$6,""))</f>
        <v>0</v>
      </c>
      <c r="AY50" s="8"/>
      <c r="AZ50" s="2"/>
      <c r="BA50" s="2"/>
      <c r="BB50" s="2">
        <f>IF(BB$10=$T$6,MAX($V$6-Stock!BC50,0),IF(BB$10&lt;$T$6,($AB$6*(BC48-BC52)+BC52)/$Z$6,""))</f>
        <v>0</v>
      </c>
      <c r="BC50" s="114"/>
    </row>
    <row r="51" spans="1:55" ht="14.25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13" t="s">
        <v>38</v>
      </c>
      <c r="R51" s="2"/>
      <c r="S51" s="14" t="s">
        <v>38</v>
      </c>
      <c r="T51" s="14"/>
      <c r="U51" s="13" t="s">
        <v>38</v>
      </c>
      <c r="V51" s="2"/>
      <c r="W51" s="14" t="s">
        <v>38</v>
      </c>
      <c r="X51" s="2"/>
      <c r="Y51" s="13" t="s">
        <v>38</v>
      </c>
      <c r="Z51" s="2"/>
      <c r="AA51" s="14" t="s">
        <v>38</v>
      </c>
      <c r="AB51" s="2"/>
      <c r="AC51" s="13" t="s">
        <v>38</v>
      </c>
      <c r="AD51" s="2"/>
      <c r="AE51" s="14" t="s">
        <v>38</v>
      </c>
      <c r="AF51" s="2"/>
      <c r="AG51" s="13" t="s">
        <v>38</v>
      </c>
      <c r="AH51" s="2"/>
      <c r="AI51" s="14" t="s">
        <v>38</v>
      </c>
      <c r="AJ51" s="2"/>
      <c r="AK51" s="13" t="s">
        <v>38</v>
      </c>
      <c r="AL51" s="2"/>
      <c r="AM51" s="14" t="s">
        <v>38</v>
      </c>
      <c r="AN51" s="2"/>
      <c r="AO51" s="13" t="s">
        <v>38</v>
      </c>
      <c r="AP51" s="2"/>
      <c r="AQ51" s="14" t="s">
        <v>38</v>
      </c>
      <c r="AR51" s="2"/>
      <c r="AS51" s="13" t="s">
        <v>38</v>
      </c>
      <c r="AT51" s="2"/>
      <c r="AU51" s="14" t="s">
        <v>38</v>
      </c>
      <c r="AV51" s="2"/>
      <c r="AW51" s="13" t="s">
        <v>38</v>
      </c>
      <c r="AX51" s="2"/>
      <c r="AY51" s="14" t="s">
        <v>38</v>
      </c>
      <c r="AZ51" s="2"/>
      <c r="BA51" s="13" t="s">
        <v>38</v>
      </c>
      <c r="BB51" s="2"/>
      <c r="BC51" s="115"/>
    </row>
    <row r="52" spans="1:55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>
        <f>IF(P$10=$T$6,MAX($V$6-Stock!Q52,0),IF(P$10&lt;$T$6,($AB$6*(R50-R54)+R54)/$Z$6,""))</f>
        <v>1.5177732726441202</v>
      </c>
      <c r="Q52" s="8"/>
      <c r="R52" s="2"/>
      <c r="S52" s="2"/>
      <c r="T52" s="2">
        <f>IF(T$10=$T$6,MAX($V$6-Stock!U52,0),IF(T$10&lt;$T$6,($AB$6*(V50-V54)+V54)/$Z$6,""))</f>
        <v>1.1157196037597352</v>
      </c>
      <c r="U52" s="8"/>
      <c r="V52" s="2"/>
      <c r="W52" s="2"/>
      <c r="X52" s="2">
        <f>IF(X$10=$T$6,MAX($V$6-Stock!Y52,0),IF(X$10&lt;$T$6,($AB$6*(Z50-Z54)+Z54)/$Z$6,""))</f>
        <v>0.75878838711145791</v>
      </c>
      <c r="Y52" s="8"/>
      <c r="Z52" s="2"/>
      <c r="AA52" s="2"/>
      <c r="AB52" s="2">
        <f>IF(AB$10=$T$6,MAX($V$6-Stock!AC52,0),IF(AB$10&lt;$T$6,($AB$6*(AD50-AD54)+AD54)/$Z$6,""))</f>
        <v>0.45727249841766537</v>
      </c>
      <c r="AC52" s="8"/>
      <c r="AD52" s="2"/>
      <c r="AE52" s="2"/>
      <c r="AF52" s="2">
        <f>IF(AF$10=$T$6,MAX($V$6-Stock!AG52,0),IF(AF$10&lt;$T$6,($AB$6*(AH50-AH54)+AH54)/$Z$6,""))</f>
        <v>0.22346188992190624</v>
      </c>
      <c r="AG52" s="8"/>
      <c r="AH52" s="2"/>
      <c r="AI52" s="2"/>
      <c r="AJ52" s="2">
        <f>IF(AJ$10=$T$6,MAX($V$6-Stock!AK52,0),IF(AJ$10&lt;$T$6,($AB$6*(AL50-AL54)+AL54)/$Z$6,""))</f>
        <v>6.9158724511721711E-2</v>
      </c>
      <c r="AK52" s="8"/>
      <c r="AL52" s="2"/>
      <c r="AM52" s="2"/>
      <c r="AN52" s="2">
        <f>IF(AN$10=$T$6,MAX($V$6-Stock!AO52,0),IF(AN$10&lt;$T$6,($AB$6*(AP50-AP54)+AP54)/$Z$6,""))</f>
        <v>0</v>
      </c>
      <c r="AO52" s="8"/>
      <c r="AP52" s="2"/>
      <c r="AQ52" s="2"/>
      <c r="AR52" s="2">
        <f>IF(AR$10=$T$6,MAX($V$6-Stock!AS52,0),IF(AR$10&lt;$T$6,($AB$6*(AT50-AT54)+AT54)/$Z$6,""))</f>
        <v>0</v>
      </c>
      <c r="AS52" s="8"/>
      <c r="AT52" s="2"/>
      <c r="AU52" s="2"/>
      <c r="AV52" s="2">
        <f>IF(AV$10=$T$6,MAX($V$6-Stock!AW52,0),IF(AV$10&lt;$T$6,($AB$6*(AX50-AX54)+AX54)/$Z$6,""))</f>
        <v>0</v>
      </c>
      <c r="AW52" s="8"/>
      <c r="AX52" s="2"/>
      <c r="AY52" s="2"/>
      <c r="AZ52" s="2">
        <f>IF(AZ$10=$T$6,MAX($V$6-Stock!BA52,0),IF(AZ$10&lt;$T$6,($AB$6*(BB50-BB54)+BB54)/$Z$6,""))</f>
        <v>0</v>
      </c>
      <c r="BA52" s="8"/>
      <c r="BB52" s="2"/>
    </row>
    <row r="53" spans="1:55" ht="14.25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13" t="s">
        <v>38</v>
      </c>
      <c r="P53" s="2"/>
      <c r="Q53" s="14" t="s">
        <v>38</v>
      </c>
      <c r="R53" s="2"/>
      <c r="S53" s="13" t="s">
        <v>38</v>
      </c>
      <c r="T53" s="2"/>
      <c r="U53" s="14" t="s">
        <v>38</v>
      </c>
      <c r="V53" s="2"/>
      <c r="W53" s="13" t="s">
        <v>38</v>
      </c>
      <c r="X53" s="2"/>
      <c r="Y53" s="14" t="s">
        <v>38</v>
      </c>
      <c r="Z53" s="2"/>
      <c r="AA53" s="13" t="s">
        <v>38</v>
      </c>
      <c r="AB53" s="2"/>
      <c r="AC53" s="14" t="s">
        <v>38</v>
      </c>
      <c r="AD53" s="2"/>
      <c r="AE53" s="13" t="s">
        <v>38</v>
      </c>
      <c r="AF53" s="2"/>
      <c r="AG53" s="14" t="s">
        <v>38</v>
      </c>
      <c r="AH53" s="2"/>
      <c r="AI53" s="13" t="s">
        <v>38</v>
      </c>
      <c r="AJ53" s="2"/>
      <c r="AK53" s="14" t="s">
        <v>38</v>
      </c>
      <c r="AL53" s="2"/>
      <c r="AM53" s="13" t="s">
        <v>38</v>
      </c>
      <c r="AN53" s="2"/>
      <c r="AO53" s="14" t="s">
        <v>38</v>
      </c>
      <c r="AP53" s="2"/>
      <c r="AQ53" s="13" t="s">
        <v>38</v>
      </c>
      <c r="AR53" s="2"/>
      <c r="AS53" s="14" t="s">
        <v>38</v>
      </c>
      <c r="AT53" s="2"/>
      <c r="AU53" s="13" t="s">
        <v>38</v>
      </c>
      <c r="AV53" s="2"/>
      <c r="AW53" s="14" t="s">
        <v>38</v>
      </c>
      <c r="AX53" s="2"/>
      <c r="AY53" s="13" t="s">
        <v>38</v>
      </c>
      <c r="AZ53" s="2"/>
      <c r="BA53" s="14" t="s">
        <v>38</v>
      </c>
      <c r="BB53" s="2"/>
      <c r="BC53" s="113"/>
    </row>
    <row r="54" spans="1:55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>
        <f>IF(N$10=$T$6,MAX($V$6-Stock!O54,0),IF(N$10&lt;$T$6,($AB$6*(P52-P56)+P56)/$Z$6,""))</f>
        <v>2.9209397402545005</v>
      </c>
      <c r="O54" s="8"/>
      <c r="P54" s="2"/>
      <c r="Q54" s="2"/>
      <c r="R54" s="2">
        <f>IF(R$10=$T$6,MAX($V$6-Stock!S54,0),IF(R$10&lt;$T$6,($AB$6*(T52-T56)+T56)/$Z$6,""))</f>
        <v>2.3293114570469684</v>
      </c>
      <c r="S54" s="8"/>
      <c r="T54" s="2"/>
      <c r="U54" s="2"/>
      <c r="V54" s="2">
        <f>IF(V$10=$T$6,MAX($V$6-Stock!W54,0),IF(V$10&lt;$T$6,($AB$6*(X52-X56)+X56)/$Z$6,""))</f>
        <v>1.768183988172537</v>
      </c>
      <c r="W54" s="8"/>
      <c r="X54" s="2"/>
      <c r="Y54" s="2"/>
      <c r="Z54" s="2">
        <f>IF(Z$10=$T$6,MAX($V$6-Stock!AA54,0),IF(Z$10&lt;$T$6,($AB$6*(AB52-AB56)+AB56)/$Z$6,""))</f>
        <v>1.249473665291404</v>
      </c>
      <c r="AA54" s="8"/>
      <c r="AB54" s="2"/>
      <c r="AC54" s="2"/>
      <c r="AD54" s="2">
        <f>IF(AD$10=$T$6,MAX($V$6-Stock!AE54,0),IF(AD$10&lt;$T$6,($AB$6*(AF52-AF56)+AF56)/$Z$6,""))</f>
        <v>0.78953159422704022</v>
      </c>
      <c r="AE54" s="8"/>
      <c r="AF54" s="2"/>
      <c r="AG54" s="2"/>
      <c r="AH54" s="2">
        <f>IF(AH$10=$T$6,MAX($V$6-Stock!AI54,0),IF(AH$10&lt;$T$6,($AB$6*(AJ52-AJ56)+AJ56)/$Z$6,""))</f>
        <v>0.40989244020934673</v>
      </c>
      <c r="AI54" s="8"/>
      <c r="AJ54" s="2"/>
      <c r="AK54" s="2"/>
      <c r="AL54" s="2">
        <f>IF(AL$10=$T$6,MAX($V$6-Stock!AM54,0),IF(AL$10&lt;$T$6,($AB$6*(AN52-AN56)+AN56)/$Z$6,""))</f>
        <v>0.1374791829095138</v>
      </c>
      <c r="AM54" s="8"/>
      <c r="AN54" s="2"/>
      <c r="AO54" s="2"/>
      <c r="AP54" s="2">
        <f>IF(AP$10=$T$6,MAX($V$6-Stock!AQ54,0),IF(AP$10&lt;$T$6,($AB$6*(AR52-AR56)+AR56)/$Z$6,""))</f>
        <v>0</v>
      </c>
      <c r="AQ54" s="8"/>
      <c r="AR54" s="2"/>
      <c r="AS54" s="2"/>
      <c r="AT54" s="2">
        <f>IF(AT$10=$T$6,MAX($V$6-Stock!AU54,0),IF(AT$10&lt;$T$6,($AB$6*(AV52-AV56)+AV56)/$Z$6,""))</f>
        <v>0</v>
      </c>
      <c r="AU54" s="8"/>
      <c r="AV54" s="2"/>
      <c r="AW54" s="2"/>
      <c r="AX54" s="2">
        <f>IF(AX$10=$T$6,MAX($V$6-Stock!AY54,0),IF(AX$10&lt;$T$6,($AB$6*(AZ52-AZ56)+AZ56)/$Z$6,""))</f>
        <v>0</v>
      </c>
      <c r="AY54" s="8"/>
      <c r="AZ54" s="2"/>
      <c r="BA54" s="2"/>
      <c r="BB54" s="2">
        <f>IF(BB$10=$T$6,MAX($V$6-Stock!BC54,0),IF(BB$10&lt;$T$6,($AB$6*(BC52-BC56)+BC56)/$Z$6,""))</f>
        <v>0</v>
      </c>
      <c r="BC54" s="114"/>
    </row>
    <row r="55" spans="1:55" ht="14.25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13" t="s">
        <v>38</v>
      </c>
      <c r="N55" s="2"/>
      <c r="O55" s="14" t="s">
        <v>38</v>
      </c>
      <c r="P55" s="2"/>
      <c r="Q55" s="13" t="s">
        <v>38</v>
      </c>
      <c r="R55" s="2"/>
      <c r="S55" s="14" t="s">
        <v>38</v>
      </c>
      <c r="T55" s="2"/>
      <c r="U55" s="13" t="s">
        <v>38</v>
      </c>
      <c r="V55" s="2"/>
      <c r="W55" s="14" t="s">
        <v>38</v>
      </c>
      <c r="X55" s="2"/>
      <c r="Y55" s="13" t="s">
        <v>38</v>
      </c>
      <c r="Z55" s="2"/>
      <c r="AA55" s="14" t="s">
        <v>38</v>
      </c>
      <c r="AB55" s="2"/>
      <c r="AC55" s="13" t="s">
        <v>38</v>
      </c>
      <c r="AD55" s="2"/>
      <c r="AE55" s="14" t="s">
        <v>38</v>
      </c>
      <c r="AF55" s="2"/>
      <c r="AG55" s="13" t="s">
        <v>38</v>
      </c>
      <c r="AH55" s="2"/>
      <c r="AI55" s="14" t="s">
        <v>38</v>
      </c>
      <c r="AJ55" s="2"/>
      <c r="AK55" s="13" t="s">
        <v>38</v>
      </c>
      <c r="AL55" s="2"/>
      <c r="AM55" s="14" t="s">
        <v>38</v>
      </c>
      <c r="AN55" s="2"/>
      <c r="AO55" s="13" t="s">
        <v>38</v>
      </c>
      <c r="AP55" s="2"/>
      <c r="AQ55" s="14" t="s">
        <v>38</v>
      </c>
      <c r="AR55" s="2"/>
      <c r="AS55" s="13" t="s">
        <v>38</v>
      </c>
      <c r="AT55" s="2"/>
      <c r="AU55" s="14" t="s">
        <v>38</v>
      </c>
      <c r="AV55" s="2"/>
      <c r="AW55" s="13" t="s">
        <v>38</v>
      </c>
      <c r="AX55" s="2"/>
      <c r="AY55" s="14" t="s">
        <v>38</v>
      </c>
      <c r="AZ55" s="2"/>
      <c r="BA55" s="13" t="s">
        <v>38</v>
      </c>
      <c r="BB55" s="2"/>
      <c r="BC55" s="115"/>
    </row>
    <row r="56" spans="1:55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>
        <f>IF(L$10=$T$6,MAX($V$6-Stock!M56,0),IF(L$10&lt;$T$6,($AB$6*(N54-N58)+N58)/$Z$6,""))</f>
        <v>5.0956802192624098</v>
      </c>
      <c r="M56" s="8"/>
      <c r="N56" s="2"/>
      <c r="O56" s="2"/>
      <c r="P56" s="2">
        <f>IF(P$10=$T$6,MAX($V$6-Stock!Q56,0),IF(P$10&lt;$T$6,($AB$6*(R54-R58)+R58)/$Z$6,""))</f>
        <v>4.3090939480730972</v>
      </c>
      <c r="Q56" s="8"/>
      <c r="R56" s="2"/>
      <c r="S56" s="2"/>
      <c r="T56" s="2">
        <f>IF(T$10=$T$6,MAX($V$6-Stock!U56,0),IF(T$10&lt;$T$6,($AB$6*(V54-V58)+V58)/$Z$6,""))</f>
        <v>3.5296602946878251</v>
      </c>
      <c r="U56" s="8"/>
      <c r="V56" s="2"/>
      <c r="W56" s="2"/>
      <c r="X56" s="2">
        <f>IF(X$10=$T$6,MAX($V$6-Stock!Y56,0),IF(X$10&lt;$T$6,($AB$6*(Z54-Z58)+Z58)/$Z$6,""))</f>
        <v>2.7663423666707816</v>
      </c>
      <c r="Y56" s="8"/>
      <c r="Z56" s="2"/>
      <c r="AA56" s="2"/>
      <c r="AB56" s="2">
        <f>IF(AB$10=$T$6,MAX($V$6-Stock!AC56,0),IF(AB$10&lt;$T$6,($AB$6*(AD54-AD58)+AD58)/$Z$6,""))</f>
        <v>2.0326738056921059</v>
      </c>
      <c r="AC56" s="8"/>
      <c r="AD56" s="2"/>
      <c r="AE56" s="2"/>
      <c r="AF56" s="2">
        <f>IF(AF$10=$T$6,MAX($V$6-Stock!AG56,0),IF(AF$10&lt;$T$6,($AB$6*(AH54-AH58)+AH58)/$Z$6,""))</f>
        <v>1.3490338036421996</v>
      </c>
      <c r="AG56" s="8"/>
      <c r="AH56" s="2"/>
      <c r="AI56" s="2"/>
      <c r="AJ56" s="2">
        <f>IF(AJ$10=$T$6,MAX($V$6-Stock!AK56,0),IF(AJ$10&lt;$T$6,($AB$6*(AL54-AL58)+AL58)/$Z$6,""))</f>
        <v>0.74658707743247521</v>
      </c>
      <c r="AK56" s="8"/>
      <c r="AL56" s="2"/>
      <c r="AM56" s="2"/>
      <c r="AN56" s="2">
        <f>IF(AN$10=$T$6,MAX($V$6-Stock!AO56,0),IF(AN$10&lt;$T$6,($AB$6*(AP54-AP58)+AP58)/$Z$6,""))</f>
        <v>0.27329199413248434</v>
      </c>
      <c r="AO56" s="8"/>
      <c r="AP56" s="2"/>
      <c r="AQ56" s="2"/>
      <c r="AR56" s="2">
        <f>IF(AR$10=$T$6,MAX($V$6-Stock!AS56,0),IF(AR$10&lt;$T$6,($AB$6*(AT54-AT58)+AT58)/$Z$6,""))</f>
        <v>0</v>
      </c>
      <c r="AS56" s="8"/>
      <c r="AT56" s="2"/>
      <c r="AU56" s="2"/>
      <c r="AV56" s="2">
        <f>IF(AV$10=$T$6,MAX($V$6-Stock!AW56,0),IF(AV$10&lt;$T$6,($AB$6*(AX54-AX58)+AX58)/$Z$6,""))</f>
        <v>0</v>
      </c>
      <c r="AW56" s="8"/>
      <c r="AX56" s="2"/>
      <c r="AY56" s="2"/>
      <c r="AZ56" s="2">
        <f>IF(AZ$10=$T$6,MAX($V$6-Stock!BA56,0),IF(AZ$10&lt;$T$6,($AB$6*(BB54-BB58)+BB58)/$Z$6,""))</f>
        <v>0</v>
      </c>
      <c r="BA56" s="8"/>
      <c r="BB56" s="2"/>
    </row>
    <row r="57" spans="1:55" ht="14.25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13" t="s">
        <v>38</v>
      </c>
      <c r="L57" s="2"/>
      <c r="M57" s="14" t="s">
        <v>38</v>
      </c>
      <c r="N57" s="2"/>
      <c r="O57" s="13" t="s">
        <v>38</v>
      </c>
      <c r="P57" s="2"/>
      <c r="Q57" s="14" t="s">
        <v>38</v>
      </c>
      <c r="R57" s="2"/>
      <c r="S57" s="13" t="s">
        <v>38</v>
      </c>
      <c r="T57" s="2"/>
      <c r="U57" s="14" t="s">
        <v>38</v>
      </c>
      <c r="V57" s="2"/>
      <c r="W57" s="13" t="s">
        <v>38</v>
      </c>
      <c r="X57" s="2"/>
      <c r="Y57" s="14" t="s">
        <v>38</v>
      </c>
      <c r="Z57" s="2"/>
      <c r="AA57" s="13" t="s">
        <v>38</v>
      </c>
      <c r="AB57" s="2"/>
      <c r="AC57" s="14" t="s">
        <v>38</v>
      </c>
      <c r="AD57" s="2"/>
      <c r="AE57" s="13" t="s">
        <v>38</v>
      </c>
      <c r="AF57" s="2"/>
      <c r="AG57" s="14" t="s">
        <v>38</v>
      </c>
      <c r="AH57" s="2"/>
      <c r="AI57" s="13" t="s">
        <v>38</v>
      </c>
      <c r="AJ57" s="2"/>
      <c r="AK57" s="14" t="s">
        <v>38</v>
      </c>
      <c r="AL57" s="2"/>
      <c r="AM57" s="13" t="s">
        <v>38</v>
      </c>
      <c r="AN57" s="2"/>
      <c r="AO57" s="14" t="s">
        <v>38</v>
      </c>
      <c r="AP57" s="2"/>
      <c r="AQ57" s="13" t="s">
        <v>38</v>
      </c>
      <c r="AR57" s="2"/>
      <c r="AS57" s="14" t="s">
        <v>38</v>
      </c>
      <c r="AT57" s="2"/>
      <c r="AU57" s="13" t="s">
        <v>38</v>
      </c>
      <c r="AV57" s="2"/>
      <c r="AW57" s="14" t="s">
        <v>38</v>
      </c>
      <c r="AX57" s="2"/>
      <c r="AY57" s="13" t="s">
        <v>38</v>
      </c>
      <c r="AZ57" s="2"/>
      <c r="BA57" s="14" t="s">
        <v>38</v>
      </c>
      <c r="BB57" s="2"/>
      <c r="BC57" s="113"/>
    </row>
    <row r="58" spans="1:55" x14ac:dyDescent="0.2">
      <c r="A58" s="2"/>
      <c r="B58" s="2"/>
      <c r="C58" s="2"/>
      <c r="D58" s="2"/>
      <c r="E58" s="2"/>
      <c r="F58" s="2"/>
      <c r="G58" s="2"/>
      <c r="H58" s="2"/>
      <c r="I58" s="2"/>
      <c r="J58" s="2">
        <f>IF(J$10=$T$6,MAX($V$6-Stock!K58,0),IF(J$10&lt;$T$6,($AB$6*(L56-L60)+L60)/$Z$6,""))</f>
        <v>8.2087251556448937</v>
      </c>
      <c r="K58" s="8"/>
      <c r="L58" s="2"/>
      <c r="M58" s="2"/>
      <c r="N58" s="2">
        <f>IF(N$10=$T$6,MAX($V$6-Stock!O58,0),IF(N$10&lt;$T$6,($AB$6*(P56-P60)+P60)/$Z$6,""))</f>
        <v>7.2479009778197065</v>
      </c>
      <c r="O58" s="8"/>
      <c r="P58" s="2"/>
      <c r="Q58" s="2"/>
      <c r="R58" s="2">
        <f>IF(R$10=$T$6,MAX($V$6-Stock!S58,0),IF(R$10&lt;$T$6,($AB$6*(T56-T60)+T60)/$Z$6,""))</f>
        <v>6.2679419845440716</v>
      </c>
      <c r="S58" s="8"/>
      <c r="T58" s="2"/>
      <c r="U58" s="2"/>
      <c r="V58" s="2">
        <f>IF(V$10=$T$6,MAX($V$6-Stock!W58,0),IF(V$10&lt;$T$6,($AB$6*(X56-X60)+X60)/$Z$6,""))</f>
        <v>5.2721105124952619</v>
      </c>
      <c r="W58" s="8"/>
      <c r="X58" s="2"/>
      <c r="Y58" s="2"/>
      <c r="Z58" s="2">
        <f>IF(Z$10=$T$6,MAX($V$6-Stock!AA58,0),IF(Z$10&lt;$T$6,($AB$6*(AB56-AB60)+AB60)/$Z$6,""))</f>
        <v>4.2664679070212213</v>
      </c>
      <c r="AA58" s="8"/>
      <c r="AB58" s="2"/>
      <c r="AC58" s="2"/>
      <c r="AD58" s="2">
        <f>IF(AD$10=$T$6,MAX($V$6-Stock!AE58,0),IF(AD$10&lt;$T$6,($AB$6*(AF56-AF60)+AF60)/$Z$6,""))</f>
        <v>3.2617859922860561</v>
      </c>
      <c r="AE58" s="8"/>
      <c r="AF58" s="2"/>
      <c r="AG58" s="2"/>
      <c r="AH58" s="2">
        <f>IF(AH$10=$T$6,MAX($V$6-Stock!AI58,0),IF(AH$10&lt;$T$6,($AB$6*(AJ56-AJ60)+AJ60)/$Z$6,""))</f>
        <v>2.2773308033724198</v>
      </c>
      <c r="AI58" s="8"/>
      <c r="AJ58" s="2"/>
      <c r="AK58" s="2"/>
      <c r="AL58" s="2">
        <f>IF(AL$10=$T$6,MAX($V$6-Stock!AM58,0),IF(AL$10&lt;$T$6,($AB$6*(AN56-AN60)+AN60)/$Z$6,""))</f>
        <v>1.3484927758028282</v>
      </c>
      <c r="AM58" s="8"/>
      <c r="AN58" s="2"/>
      <c r="AO58" s="2"/>
      <c r="AP58" s="2">
        <f>IF(AP$10=$T$6,MAX($V$6-Stock!AQ58,0),IF(AP$10&lt;$T$6,($AB$6*(AR56-AR60)+AR60)/$Z$6,""))</f>
        <v>0.54327144281958983</v>
      </c>
      <c r="AQ58" s="8"/>
      <c r="AR58" s="2"/>
      <c r="AS58" s="2"/>
      <c r="AT58" s="2">
        <f>IF(AT$10=$T$6,MAX($V$6-Stock!AU58,0),IF(AT$10&lt;$T$6,($AB$6*(AV56-AV60)+AV60)/$Z$6,""))</f>
        <v>0</v>
      </c>
      <c r="AU58" s="8"/>
      <c r="AV58" s="2"/>
      <c r="AW58" s="2"/>
      <c r="AX58" s="2">
        <f>IF(AX$10=$T$6,MAX($V$6-Stock!AY58,0),IF(AX$10&lt;$T$6,($AB$6*(AZ56-AZ60)+AZ60)/$Z$6,""))</f>
        <v>0</v>
      </c>
      <c r="AY58" s="8"/>
      <c r="AZ58" s="2"/>
      <c r="BA58" s="2"/>
      <c r="BB58" s="2">
        <f>IF(BB$10=$T$6,MAX($V$6-Stock!BC58,0),IF(BB$10&lt;$T$6,($AB$6*(BC56-BC60)+BC60)/$Z$6,""))</f>
        <v>0</v>
      </c>
      <c r="BC58" s="114"/>
    </row>
    <row r="59" spans="1:55" ht="14.25" x14ac:dyDescent="0.2">
      <c r="A59" s="2"/>
      <c r="B59" s="2"/>
      <c r="C59" s="2"/>
      <c r="D59" s="2"/>
      <c r="E59" s="2"/>
      <c r="F59" s="2"/>
      <c r="G59" s="2"/>
      <c r="H59" s="2"/>
      <c r="I59" s="13" t="s">
        <v>38</v>
      </c>
      <c r="J59" s="2"/>
      <c r="K59" s="14" t="s">
        <v>38</v>
      </c>
      <c r="L59" s="2"/>
      <c r="M59" s="13" t="s">
        <v>38</v>
      </c>
      <c r="N59" s="2"/>
      <c r="O59" s="14" t="s">
        <v>38</v>
      </c>
      <c r="P59" s="2"/>
      <c r="Q59" s="13" t="s">
        <v>38</v>
      </c>
      <c r="R59" s="2"/>
      <c r="S59" s="14" t="s">
        <v>38</v>
      </c>
      <c r="T59" s="2"/>
      <c r="U59" s="13" t="s">
        <v>38</v>
      </c>
      <c r="V59" s="2"/>
      <c r="W59" s="14" t="s">
        <v>38</v>
      </c>
      <c r="X59" s="2"/>
      <c r="Y59" s="13" t="s">
        <v>38</v>
      </c>
      <c r="Z59" s="2"/>
      <c r="AA59" s="14" t="s">
        <v>38</v>
      </c>
      <c r="AB59" s="2"/>
      <c r="AC59" s="13" t="s">
        <v>38</v>
      </c>
      <c r="AD59" s="2"/>
      <c r="AE59" s="14" t="s">
        <v>38</v>
      </c>
      <c r="AF59" s="2"/>
      <c r="AG59" s="13" t="s">
        <v>38</v>
      </c>
      <c r="AH59" s="2"/>
      <c r="AI59" s="14" t="s">
        <v>38</v>
      </c>
      <c r="AJ59" s="2"/>
      <c r="AK59" s="13" t="s">
        <v>38</v>
      </c>
      <c r="AL59" s="2"/>
      <c r="AM59" s="14" t="s">
        <v>38</v>
      </c>
      <c r="AN59" s="2"/>
      <c r="AO59" s="13" t="s">
        <v>38</v>
      </c>
      <c r="AP59" s="2"/>
      <c r="AQ59" s="14" t="s">
        <v>38</v>
      </c>
      <c r="AR59" s="2"/>
      <c r="AS59" s="13" t="s">
        <v>38</v>
      </c>
      <c r="AT59" s="2"/>
      <c r="AU59" s="14" t="s">
        <v>38</v>
      </c>
      <c r="AV59" s="2"/>
      <c r="AW59" s="13" t="s">
        <v>38</v>
      </c>
      <c r="AX59" s="2"/>
      <c r="AY59" s="14" t="s">
        <v>38</v>
      </c>
      <c r="AZ59" s="2"/>
      <c r="BA59" s="13" t="s">
        <v>38</v>
      </c>
      <c r="BB59" s="2"/>
      <c r="BC59" s="115"/>
    </row>
    <row r="60" spans="1:55" x14ac:dyDescent="0.2">
      <c r="A60" s="2"/>
      <c r="B60" s="4"/>
      <c r="C60" s="9"/>
      <c r="D60" s="2"/>
      <c r="E60" s="2"/>
      <c r="F60" s="2"/>
      <c r="G60" s="2"/>
      <c r="H60" s="2">
        <f>IF(H$10=$T$6,MAX($V$6-Stock!I60,0),IF(H$10&lt;$T$6,($AB$6*(J58-J62)+J62)/$Z$6,""))</f>
        <v>12.382378606231565</v>
      </c>
      <c r="I60" s="8"/>
      <c r="J60" s="2"/>
      <c r="K60" s="2"/>
      <c r="L60" s="2">
        <f>IF(L$10=$T$6,MAX($V$6-Stock!M60,0),IF(L$10&lt;$T$6,($AB$6*(N58-N62)+N62)/$Z$6,""))</f>
        <v>11.290736358997545</v>
      </c>
      <c r="M60" s="8"/>
      <c r="N60" s="2"/>
      <c r="O60" s="2"/>
      <c r="P60" s="2">
        <f>IF(P$10=$T$6,MAX($V$6-Stock!Q60,0),IF(P$10&lt;$T$6,($AB$6*(R58-R62)+R62)/$Z$6,""))</f>
        <v>10.156752087361703</v>
      </c>
      <c r="Q60" s="8"/>
      <c r="R60" s="2"/>
      <c r="S60" s="2"/>
      <c r="T60" s="2">
        <f>IF(T$10=$T$6,MAX($V$6-Stock!U60,0),IF(T$10&lt;$T$6,($AB$6*(V58-V62)+V62)/$Z$6,""))</f>
        <v>8.9776735978100604</v>
      </c>
      <c r="U60" s="8"/>
      <c r="V60" s="2"/>
      <c r="W60" s="2"/>
      <c r="X60" s="2">
        <f>IF(X$10=$T$6,MAX($V$6-Stock!Y60,0),IF(X$10&lt;$T$6,($AB$6*(Z58-Z62)+Z62)/$Z$6,""))</f>
        <v>7.7511433382187596</v>
      </c>
      <c r="Y60" s="8"/>
      <c r="Z60" s="2"/>
      <c r="AA60" s="2"/>
      <c r="AB60" s="2">
        <f>IF(AB$10=$T$6,MAX($V$6-Stock!AC60,0),IF(AB$10&lt;$T$6,($AB$6*(AD58-AD62)+AD62)/$Z$6,""))</f>
        <v>6.4758587209664062</v>
      </c>
      <c r="AC60" s="8"/>
      <c r="AD60" s="2"/>
      <c r="AE60" s="2"/>
      <c r="AF60" s="2">
        <f>IF(AF$10=$T$6,MAX($V$6-Stock!AG60,0),IF(AF$10&lt;$T$6,($AB$6*(AH58-AH62)+AH62)/$Z$6,""))</f>
        <v>5.1531274445296269</v>
      </c>
      <c r="AG60" s="8"/>
      <c r="AH60" s="2"/>
      <c r="AI60" s="2"/>
      <c r="AJ60" s="2">
        <f>IF(AJ$10=$T$6,MAX($V$6-Stock!AK60,0),IF(AJ$10&lt;$T$6,($AB$6*(AL58-AL62)+AL62)/$Z$6,""))</f>
        <v>3.790502056488092</v>
      </c>
      <c r="AK60" s="8"/>
      <c r="AL60" s="2"/>
      <c r="AM60" s="2"/>
      <c r="AN60" s="2">
        <f>IF(AN$10=$T$6,MAX($V$6-Stock!AO60,0),IF(AN$10&lt;$T$6,($AB$6*(AP58-AP62)+AP62)/$Z$6,""))</f>
        <v>2.4110204452973116</v>
      </c>
      <c r="AO60" s="8"/>
      <c r="AP60" s="2"/>
      <c r="AQ60" s="2"/>
      <c r="AR60" s="2">
        <f>IF(AR$10=$T$6,MAX($V$6-Stock!AS60,0),IF(AR$10&lt;$T$6,($AB$6*(AT58-AT62)+AT62)/$Z$6,""))</f>
        <v>1.0799579457867374</v>
      </c>
      <c r="AS60" s="8"/>
      <c r="AT60" s="2"/>
      <c r="AU60" s="2"/>
      <c r="AV60" s="2">
        <f>IF(AV$10=$T$6,MAX($V$6-Stock!AW60,0),IF(AV$10&lt;$T$6,($AB$6*(AX58-AX62)+AX62)/$Z$6,""))</f>
        <v>0</v>
      </c>
      <c r="AW60" s="8"/>
      <c r="AX60" s="2"/>
      <c r="AY60" s="2"/>
      <c r="AZ60" s="2">
        <f>IF(AZ$10=$T$6,MAX($V$6-Stock!BA60,0),IF(AZ$10&lt;$T$6,($AB$6*(BB58-BB62)+BB62)/$Z$6,""))</f>
        <v>0</v>
      </c>
      <c r="BA60" s="8"/>
      <c r="BB60" s="2"/>
    </row>
    <row r="61" spans="1:55" ht="14.25" x14ac:dyDescent="0.2">
      <c r="A61" s="2"/>
      <c r="B61" s="9"/>
      <c r="C61" s="9"/>
      <c r="D61" s="2"/>
      <c r="E61" s="2"/>
      <c r="F61" s="2"/>
      <c r="G61" s="13" t="s">
        <v>38</v>
      </c>
      <c r="H61" s="2"/>
      <c r="I61" s="14" t="s">
        <v>38</v>
      </c>
      <c r="J61" s="2"/>
      <c r="K61" s="13" t="s">
        <v>38</v>
      </c>
      <c r="L61" s="2"/>
      <c r="M61" s="14" t="s">
        <v>38</v>
      </c>
      <c r="N61" s="2"/>
      <c r="O61" s="13" t="s">
        <v>38</v>
      </c>
      <c r="P61" s="2"/>
      <c r="Q61" s="14" t="s">
        <v>38</v>
      </c>
      <c r="R61" s="2"/>
      <c r="S61" s="13" t="s">
        <v>38</v>
      </c>
      <c r="T61" s="2"/>
      <c r="U61" s="14" t="s">
        <v>38</v>
      </c>
      <c r="V61" s="2"/>
      <c r="W61" s="13" t="s">
        <v>38</v>
      </c>
      <c r="X61" s="2"/>
      <c r="Y61" s="14" t="s">
        <v>38</v>
      </c>
      <c r="Z61" s="2"/>
      <c r="AA61" s="13" t="s">
        <v>38</v>
      </c>
      <c r="AB61" s="2"/>
      <c r="AC61" s="14" t="s">
        <v>38</v>
      </c>
      <c r="AD61" s="2"/>
      <c r="AE61" s="13" t="s">
        <v>38</v>
      </c>
      <c r="AF61" s="2"/>
      <c r="AG61" s="14" t="s">
        <v>38</v>
      </c>
      <c r="AH61" s="2"/>
      <c r="AI61" s="13" t="s">
        <v>38</v>
      </c>
      <c r="AJ61" s="2"/>
      <c r="AK61" s="14" t="s">
        <v>38</v>
      </c>
      <c r="AL61" s="2"/>
      <c r="AM61" s="13" t="s">
        <v>38</v>
      </c>
      <c r="AN61" s="2"/>
      <c r="AO61" s="14" t="s">
        <v>38</v>
      </c>
      <c r="AP61" s="2"/>
      <c r="AQ61" s="13" t="s">
        <v>38</v>
      </c>
      <c r="AR61" s="2"/>
      <c r="AS61" s="14" t="s">
        <v>38</v>
      </c>
      <c r="AT61" s="2"/>
      <c r="AU61" s="13" t="s">
        <v>38</v>
      </c>
      <c r="AV61" s="2"/>
      <c r="AW61" s="14" t="s">
        <v>38</v>
      </c>
      <c r="AX61" s="2"/>
      <c r="AY61" s="13" t="s">
        <v>38</v>
      </c>
      <c r="AZ61" s="2"/>
      <c r="BA61" s="14" t="s">
        <v>38</v>
      </c>
      <c r="BB61" s="2"/>
    </row>
    <row r="62" spans="1:55" x14ac:dyDescent="0.2">
      <c r="A62" s="2"/>
      <c r="B62" s="9" t="s">
        <v>37</v>
      </c>
      <c r="C62" s="8"/>
      <c r="D62" s="2"/>
      <c r="E62" s="2"/>
      <c r="F62" s="2">
        <f>IF(F$10=$T$6,MAX($V$6-Stock!G62,0),IF(F$10&lt;$T$6,($AB$6*(H60-H64)+H64)/$Z$6,""))</f>
        <v>17.680260119345569</v>
      </c>
      <c r="G62" s="8"/>
      <c r="H62" s="2"/>
      <c r="I62" s="2"/>
      <c r="J62" s="2">
        <f>IF(J$10=$T$6,MAX($V$6-Stock!K62,0),IF(J$10&lt;$T$6,($AB$6*(L60-L64)+L64)/$Z$6,""))</f>
        <v>16.516235444058509</v>
      </c>
      <c r="K62" s="8"/>
      <c r="L62" s="2"/>
      <c r="M62" s="2"/>
      <c r="N62" s="2">
        <f>IF(N$10=$T$6,MAX($V$6-Stock!O62,0),IF(N$10&lt;$T$6,($AB$6*(P60-P64)+P64)/$Z$6,""))</f>
        <v>15.2940975858941</v>
      </c>
      <c r="O62" s="8"/>
      <c r="P62" s="2"/>
      <c r="Q62" s="8"/>
      <c r="R62" s="2">
        <f>IF(R$10=$T$6,MAX($V$6-Stock!S62,0),IF(R$10&lt;$T$6,($AB$6*(T60-T64)+T64)/$Z$6,""))</f>
        <v>14.006666630556264</v>
      </c>
      <c r="S62" s="8"/>
      <c r="T62" s="2"/>
      <c r="U62" s="2"/>
      <c r="V62" s="2">
        <f>IF(V$10=$T$6,MAX($V$6-Stock!W62,0),IF(V$10&lt;$T$6,($AB$6*(X60-X64)+X64)/$Z$6,""))</f>
        <v>12.645253044792661</v>
      </c>
      <c r="W62" s="8"/>
      <c r="X62" s="2"/>
      <c r="Y62" s="2"/>
      <c r="Z62" s="2">
        <f>IF(Z$10=$T$6,MAX($V$6-Stock!AA62,0),IF(Z$10&lt;$T$6,($AB$6*(AB60-AB64)+AB64)/$Z$6,""))</f>
        <v>11.19919039235581</v>
      </c>
      <c r="AA62" s="8"/>
      <c r="AB62" s="2"/>
      <c r="AC62" s="2"/>
      <c r="AD62" s="2">
        <f>IF(AD$10=$T$6,MAX($V$6-Stock!AE62,0),IF(AD$10&lt;$T$6,($AB$6*(AF60-AF64)+AF64)/$Z$6,""))</f>
        <v>9.6552621880806502</v>
      </c>
      <c r="AE62" s="8"/>
      <c r="AF62" s="2"/>
      <c r="AG62" s="2"/>
      <c r="AH62" s="2">
        <f>IF(AH$10=$T$6,MAX($V$6-Stock!AI62,0),IF(AH$10&lt;$T$6,($AB$6*(AJ60-AJ64)+AJ64)/$Z$6,""))</f>
        <v>7.9970607937081146</v>
      </c>
      <c r="AI62" s="8"/>
      <c r="AJ62" s="2"/>
      <c r="AK62" s="2"/>
      <c r="AL62" s="2">
        <f>IF(AL$10=$T$6,MAX($V$6-Stock!AM62,0),IF(AL$10&lt;$T$6,($AB$6*(AN60-AN64)+AN64)/$Z$6,""))</f>
        <v>6.2046848162138657</v>
      </c>
      <c r="AM62" s="8"/>
      <c r="AN62" s="2"/>
      <c r="AO62" s="2"/>
      <c r="AP62" s="2">
        <f>IF(AP$10=$T$6,MAX($V$6-Stock!AQ62,0),IF(AP$10&lt;$T$6,($AB$6*(AR60-AR64)+AR64)/$Z$6,""))</f>
        <v>4.2568448724486165</v>
      </c>
      <c r="AQ62" s="8"/>
      <c r="AR62" s="2"/>
      <c r="AS62" s="2"/>
      <c r="AT62" s="2">
        <f>IF(AT$10=$T$6,MAX($V$6-Stock!AU62,0),IF(AT$10&lt;$T$6,($AB$6*(AV60-AV64)+AV64)/$Z$6,""))</f>
        <v>2.1468258272784251</v>
      </c>
      <c r="AU62" s="8"/>
      <c r="AV62" s="2"/>
      <c r="AW62" s="2"/>
      <c r="AX62" s="2">
        <f>IF(AX$10=$T$6,MAX($V$6-Stock!AY62,0),IF(AX$10&lt;$T$6,($AB$6*(AZ60-AZ64)+AZ64)/$Z$6,""))</f>
        <v>0</v>
      </c>
      <c r="AY62" s="8"/>
      <c r="AZ62" s="2"/>
      <c r="BA62" s="2"/>
      <c r="BB62" s="2">
        <f>IF(BB$10=$T$6,MAX($V$6-Stock!BC62,0),IF(BB$10&lt;$T$6,($AB$6*(BC60-BC64)+BC64)/$Z$6,""))</f>
        <v>0</v>
      </c>
    </row>
    <row r="63" spans="1:55" ht="14.25" x14ac:dyDescent="0.2">
      <c r="A63" s="2"/>
      <c r="B63" s="8" t="s">
        <v>33</v>
      </c>
      <c r="C63" s="8"/>
      <c r="D63" s="2"/>
      <c r="E63" s="13" t="s">
        <v>38</v>
      </c>
      <c r="F63" s="2"/>
      <c r="G63" s="14" t="s">
        <v>38</v>
      </c>
      <c r="H63" s="2"/>
      <c r="I63" s="13" t="s">
        <v>38</v>
      </c>
      <c r="J63" s="2"/>
      <c r="K63" s="14" t="s">
        <v>38</v>
      </c>
      <c r="L63" s="2"/>
      <c r="M63" s="13" t="s">
        <v>38</v>
      </c>
      <c r="N63" s="2"/>
      <c r="O63" s="14" t="s">
        <v>38</v>
      </c>
      <c r="P63" s="2"/>
      <c r="Q63" s="13" t="s">
        <v>38</v>
      </c>
      <c r="R63" s="2"/>
      <c r="S63" s="14" t="s">
        <v>38</v>
      </c>
      <c r="T63" s="2"/>
      <c r="U63" s="13" t="s">
        <v>38</v>
      </c>
      <c r="V63" s="2"/>
      <c r="W63" s="14" t="s">
        <v>38</v>
      </c>
      <c r="X63" s="2"/>
      <c r="Y63" s="13" t="s">
        <v>38</v>
      </c>
      <c r="Z63" s="2"/>
      <c r="AA63" s="14" t="s">
        <v>38</v>
      </c>
      <c r="AB63" s="2"/>
      <c r="AC63" s="13" t="s">
        <v>38</v>
      </c>
      <c r="AD63" s="2"/>
      <c r="AE63" s="14" t="s">
        <v>38</v>
      </c>
      <c r="AF63" s="2"/>
      <c r="AG63" s="13" t="s">
        <v>38</v>
      </c>
      <c r="AH63" s="2"/>
      <c r="AI63" s="14" t="s">
        <v>38</v>
      </c>
      <c r="AJ63" s="2"/>
      <c r="AK63" s="13" t="s">
        <v>38</v>
      </c>
      <c r="AL63" s="2"/>
      <c r="AM63" s="14" t="s">
        <v>38</v>
      </c>
      <c r="AN63" s="2"/>
      <c r="AO63" s="13" t="s">
        <v>38</v>
      </c>
      <c r="AP63" s="2"/>
      <c r="AQ63" s="14" t="s">
        <v>38</v>
      </c>
      <c r="AR63" s="2"/>
      <c r="AS63" s="13" t="s">
        <v>38</v>
      </c>
      <c r="AT63" s="2"/>
      <c r="AU63" s="14" t="s">
        <v>38</v>
      </c>
      <c r="AV63" s="2"/>
      <c r="AW63" s="13" t="s">
        <v>38</v>
      </c>
      <c r="AX63" s="2"/>
      <c r="AY63" s="14" t="s">
        <v>38</v>
      </c>
      <c r="AZ63" s="2"/>
      <c r="BA63" s="13" t="s">
        <v>38</v>
      </c>
      <c r="BB63" s="2"/>
    </row>
    <row r="64" spans="1:55" x14ac:dyDescent="0.2">
      <c r="A64" s="2"/>
      <c r="B64" s="2"/>
      <c r="C64" s="2"/>
      <c r="D64" s="2">
        <f>IF(D$10=$T$6,MAX($V$6-Stock!E64,0),IF(D$10&lt;$T$6,($AB$6*(F62-F66)+F66)/$Z$6,""))</f>
        <v>24.102586621566481</v>
      </c>
      <c r="E64" s="8"/>
      <c r="F64" s="2"/>
      <c r="G64" s="8"/>
      <c r="H64" s="2">
        <f>IF(H$10=$T$6,MAX($V$6-Stock!I64,0),IF(H$10&lt;$T$6,($AB$6*(J62-J66)+J66)/$Z$6,""))</f>
        <v>22.930205372453852</v>
      </c>
      <c r="I64" s="8"/>
      <c r="J64" s="2"/>
      <c r="K64" s="8"/>
      <c r="L64" s="2">
        <f>IF(L$10=$T$6,MAX($V$6-Stock!M64,0),IF(L$10&lt;$T$6,($AB$6*(N62-N66)+N66)/$Z$6,""))</f>
        <v>21.693240451266053</v>
      </c>
      <c r="M64" s="8"/>
      <c r="N64" s="2"/>
      <c r="O64" s="2"/>
      <c r="P64" s="2">
        <f>IF(P$10=$T$6,MAX($V$6-Stock!Q64,0),IF(P$10&lt;$T$6,($AB$6*(R62-R66)+R66)/$Z$6,""))</f>
        <v>20.382526683257581</v>
      </c>
      <c r="Q64" s="8"/>
      <c r="R64" s="2"/>
      <c r="S64" s="2"/>
      <c r="T64" s="2">
        <f>IF(T$10=$T$6,MAX($V$6-Stock!U64,0),IF(T$10&lt;$T$6,($AB$6*(V62-V66)+V66)/$Z$6,""))</f>
        <v>18.986506483070865</v>
      </c>
      <c r="U64" s="8"/>
      <c r="V64" s="2"/>
      <c r="W64" s="2"/>
      <c r="X64" s="2">
        <f>IF(X$10=$T$6,MAX($V$6-Stock!Y64,0),IF(X$10&lt;$T$6,($AB$6*(Z62-Z66)+Z66)/$Z$6,""))</f>
        <v>17.490231986224895</v>
      </c>
      <c r="Y64" s="8"/>
      <c r="Z64" s="2"/>
      <c r="AA64" s="2"/>
      <c r="AB64" s="2">
        <f>IF(AB$10=$T$6,MAX($V$6-Stock!AC64,0),IF(AB$10&lt;$T$6,($AB$6*(AD62-AD66)+AD66)/$Z$6,""))</f>
        <v>15.8737846936531</v>
      </c>
      <c r="AC64" s="8"/>
      <c r="AD64" s="2"/>
      <c r="AE64" s="2"/>
      <c r="AF64" s="2">
        <f>IF(AF$10=$T$6,MAX($V$6-Stock!AG64,0),IF(AF$10&lt;$T$6,($AB$6*(AH62-AH66)+AH66)/$Z$6,""))</f>
        <v>14.109601701956095</v>
      </c>
      <c r="AG64" s="8"/>
      <c r="AH64" s="2"/>
      <c r="AI64" s="2"/>
      <c r="AJ64" s="2">
        <f>IF(AJ$10=$T$6,MAX($V$6-Stock!AK64,0),IF(AJ$10&lt;$T$6,($AB$6*(AL62-AL66)+AL66)/$Z$6,""))</f>
        <v>12.15761553526653</v>
      </c>
      <c r="AK64" s="8"/>
      <c r="AL64" s="2"/>
      <c r="AM64" s="2"/>
      <c r="AN64" s="2">
        <f>IF(AN$10=$T$6,MAX($V$6-Stock!AO64,0),IF(AN$10&lt;$T$6,($AB$6*(AP62-AP66)+AP66)/$Z$6,""))</f>
        <v>9.9555362693052665</v>
      </c>
      <c r="AO64" s="8"/>
      <c r="AP64" s="2"/>
      <c r="AQ64" s="2"/>
      <c r="AR64" s="2">
        <f>IF(AR$10=$T$6,MAX($V$6-Stock!AS64,0),IF(AR$10&lt;$T$6,($AB$6*(AT62-AT66)+AT66)/$Z$6,""))</f>
        <v>7.3966448614503353</v>
      </c>
      <c r="AS64" s="8"/>
      <c r="AT64" s="2"/>
      <c r="AU64" s="2"/>
      <c r="AV64" s="2">
        <f>IF(AV$10=$T$6,MAX($V$6-Stock!AW64,0),IF(AV$10&lt;$T$6,($AB$6*(AX62-AX66)+AX66)/$Z$6,""))</f>
        <v>4.2676301893516699</v>
      </c>
      <c r="AW64" s="8"/>
      <c r="AX64" s="2"/>
      <c r="AY64" s="2"/>
      <c r="AZ64" s="2">
        <f>IF(AZ$10=$T$6,MAX($V$6-Stock!BA64,0),IF(AZ$10&lt;$T$6,($AB$6*(BB62-BB66)+BB66)/$Z$6,""))</f>
        <v>0</v>
      </c>
      <c r="BA64" s="8"/>
      <c r="BB64" s="2"/>
    </row>
    <row r="65" spans="1:55" ht="14.25" x14ac:dyDescent="0.2">
      <c r="A65" s="2"/>
      <c r="B65" s="2"/>
      <c r="C65" s="13" t="s">
        <v>38</v>
      </c>
      <c r="D65" s="2"/>
      <c r="E65" s="14" t="s">
        <v>38</v>
      </c>
      <c r="F65" s="2"/>
      <c r="G65" s="14"/>
      <c r="H65" s="2"/>
      <c r="I65" s="14" t="s">
        <v>38</v>
      </c>
      <c r="J65" s="2"/>
      <c r="K65" s="14"/>
      <c r="L65" s="2"/>
      <c r="M65" s="14" t="s">
        <v>38</v>
      </c>
      <c r="N65" s="2"/>
      <c r="O65" s="13" t="s">
        <v>38</v>
      </c>
      <c r="P65" s="2"/>
      <c r="Q65" s="14" t="s">
        <v>38</v>
      </c>
      <c r="R65" s="2"/>
      <c r="S65" s="13" t="s">
        <v>38</v>
      </c>
      <c r="T65" s="2"/>
      <c r="U65" s="14" t="s">
        <v>38</v>
      </c>
      <c r="V65" s="2"/>
      <c r="W65" s="13" t="s">
        <v>38</v>
      </c>
      <c r="X65" s="2"/>
      <c r="Y65" s="14" t="s">
        <v>38</v>
      </c>
      <c r="Z65" s="2"/>
      <c r="AA65" s="13" t="s">
        <v>38</v>
      </c>
      <c r="AB65" s="2"/>
      <c r="AC65" s="14" t="s">
        <v>38</v>
      </c>
      <c r="AD65" s="2"/>
      <c r="AE65" s="13" t="s">
        <v>38</v>
      </c>
      <c r="AF65" s="2"/>
      <c r="AG65" s="14" t="s">
        <v>38</v>
      </c>
      <c r="AH65" s="2"/>
      <c r="AI65" s="13" t="s">
        <v>38</v>
      </c>
      <c r="AJ65" s="2"/>
      <c r="AK65" s="14" t="s">
        <v>38</v>
      </c>
      <c r="AL65" s="2"/>
      <c r="AM65" s="13" t="s">
        <v>38</v>
      </c>
      <c r="AN65" s="2"/>
      <c r="AO65" s="14" t="s">
        <v>38</v>
      </c>
      <c r="AP65" s="2"/>
      <c r="AQ65" s="13" t="s">
        <v>38</v>
      </c>
      <c r="AR65" s="2"/>
      <c r="AS65" s="14" t="s">
        <v>38</v>
      </c>
      <c r="AT65" s="2"/>
      <c r="AU65" s="13" t="s">
        <v>38</v>
      </c>
      <c r="AV65" s="2"/>
      <c r="AW65" s="14" t="s">
        <v>38</v>
      </c>
      <c r="AX65" s="2"/>
      <c r="AY65" s="13" t="s">
        <v>38</v>
      </c>
      <c r="AZ65" s="2"/>
      <c r="BA65" s="14" t="s">
        <v>38</v>
      </c>
      <c r="BB65" s="2"/>
      <c r="BC65" s="113"/>
    </row>
    <row r="66" spans="1:55" x14ac:dyDescent="0.2">
      <c r="A66" s="2"/>
      <c r="B66" s="5">
        <f>IF(B$10=$T$6,MAX($V$6-Stock!C66,0),IF(B$10&lt;$T$6,($AB$6*(D64-D68)+D68)/$Z$6,""))</f>
        <v>31.590253430301697</v>
      </c>
      <c r="C66" s="8"/>
      <c r="D66" s="2"/>
      <c r="E66" s="4"/>
      <c r="F66" s="2">
        <f>IF(F$10=$T$6,MAX($V$6-Stock!G66,0),IF(F$10&lt;$T$6,($AB$6*(H64-H68)+H68)/$Z$6,""))</f>
        <v>30.47031258520358</v>
      </c>
      <c r="G66" s="8"/>
      <c r="H66" s="2"/>
      <c r="I66" s="8"/>
      <c r="J66" s="2">
        <f>IF(J$10=$T$6,MAX($V$6-Stock!K66,0),IF(J$10&lt;$T$6,($AB$6*(L64-L68)+L68)/$Z$6,""))</f>
        <v>29.28814573372782</v>
      </c>
      <c r="K66" s="8"/>
      <c r="L66" s="2"/>
      <c r="M66" s="8"/>
      <c r="N66" s="2">
        <f>IF(N$10=$T$6,MAX($V$6-Stock!O66,0),IF(N$10&lt;$T$6,($AB$6*(P64-P68)+P68)/$Z$6,""))</f>
        <v>28.034926749014861</v>
      </c>
      <c r="O66" s="8"/>
      <c r="P66" s="2"/>
      <c r="Q66" s="8"/>
      <c r="R66" s="2">
        <f>IF(R$10=$T$6,MAX($V$6-Stock!S66,0),IF(R$10&lt;$T$6,($AB$6*(T64-T68)+T68)/$Z$6,""))</f>
        <v>26.699519819740825</v>
      </c>
      <c r="S66" s="8"/>
      <c r="T66" s="2"/>
      <c r="U66" s="8"/>
      <c r="V66" s="2">
        <f>IF(V$10=$T$6,MAX($V$6-Stock!W66,0),IF(V$10&lt;$T$6,($AB$6*(X64-X68)+X68)/$Z$6,""))</f>
        <v>25.267522647881968</v>
      </c>
      <c r="W66" s="8"/>
      <c r="X66" s="2"/>
      <c r="Y66" s="8"/>
      <c r="Z66" s="2">
        <f>IF(Z$10=$T$6,MAX($V$6-Stock!AA66,0),IF(Z$10&lt;$T$6,($AB$6*(AB64-AB68)+AB68)/$Z$6,""))</f>
        <v>23.719743812565152</v>
      </c>
      <c r="AA66" s="8"/>
      <c r="AB66" s="2"/>
      <c r="AC66" s="8"/>
      <c r="AD66" s="2">
        <f>IF(AD$10=$T$6,MAX($V$6-Stock!AE66,0),IF(AD$10&lt;$T$6,($AB$6*(AF64-AF68)+AF68)/$Z$6,""))</f>
        <v>22.029626659851573</v>
      </c>
      <c r="AE66" s="8"/>
      <c r="AF66" s="2"/>
      <c r="AG66" s="8"/>
      <c r="AH66" s="2">
        <f>IF(AH$10=$T$6,MAX($V$6-Stock!AI66,0),IF(AH$10&lt;$T$6,($AB$6*(AJ64-AJ68)+AJ68)/$Z$6,""))</f>
        <v>20.158566662313032</v>
      </c>
      <c r="AI66" s="8"/>
      <c r="AJ66" s="2"/>
      <c r="AK66" s="8"/>
      <c r="AL66" s="2">
        <f>IF(AL$10=$T$6,MAX($V$6-Stock!AM66,0),IF(AL$10&lt;$T$6,($AB$6*(AN64-AN68)+AN68)/$Z$6,""))</f>
        <v>18.046548528425035</v>
      </c>
      <c r="AM66" s="8"/>
      <c r="AN66" s="2"/>
      <c r="AO66" s="8"/>
      <c r="AP66" s="2">
        <f>IF(AP$10=$T$6,MAX($V$6-Stock!AQ66,0),IF(AP$10&lt;$T$6,($AB$6*(AR64-AR68)+AR68)/$Z$6,""))</f>
        <v>15.590750767628842</v>
      </c>
      <c r="AQ66" s="8"/>
      <c r="AR66" s="2"/>
      <c r="AS66" s="8"/>
      <c r="AT66" s="2">
        <f>IF(AT$10=$T$6,MAX($V$6-Stock!AU66,0),IF(AT$10&lt;$T$6,($AB$6*(AV64-AV68)+AV68)/$Z$6,""))</f>
        <v>12.585653739123591</v>
      </c>
      <c r="AU66" s="8"/>
      <c r="AV66" s="2"/>
      <c r="AW66" s="8"/>
      <c r="AX66" s="2">
        <f>IF(AX$10=$T$6,MAX($V$6-Stock!AY66,0),IF(AX$10&lt;$T$6,($AB$6*(AZ64-AZ68)+AZ68)/$Z$6,""))</f>
        <v>8.4835328519194952</v>
      </c>
      <c r="AY66" s="8"/>
      <c r="AZ66" s="2"/>
      <c r="BA66" s="8"/>
      <c r="BB66" s="2">
        <f>IF(BB$10=$T$6,MAX($V$6-Stock!BC66,0),IF(BB$10&lt;$T$6,($AB$6*(BC64-BC68)+BC68)/$Z$6,""))</f>
        <v>0</v>
      </c>
      <c r="BC66" s="114"/>
    </row>
    <row r="67" spans="1:55" ht="14.25" x14ac:dyDescent="0.2">
      <c r="A67" s="2"/>
      <c r="B67" s="8"/>
      <c r="C67" s="14" t="s">
        <v>38</v>
      </c>
      <c r="D67" s="2"/>
      <c r="E67" s="13" t="s">
        <v>38</v>
      </c>
      <c r="F67" s="2"/>
      <c r="G67" s="14" t="s">
        <v>38</v>
      </c>
      <c r="H67" s="2"/>
      <c r="I67" s="13" t="s">
        <v>38</v>
      </c>
      <c r="J67" s="2"/>
      <c r="K67" s="14" t="s">
        <v>38</v>
      </c>
      <c r="L67" s="2"/>
      <c r="M67" s="13" t="s">
        <v>38</v>
      </c>
      <c r="N67" s="2"/>
      <c r="O67" s="14" t="s">
        <v>38</v>
      </c>
      <c r="P67" s="2"/>
      <c r="Q67" s="13" t="s">
        <v>38</v>
      </c>
      <c r="R67" s="2"/>
      <c r="S67" s="14" t="s">
        <v>38</v>
      </c>
      <c r="T67" s="2"/>
      <c r="U67" s="13" t="s">
        <v>38</v>
      </c>
      <c r="V67" s="2"/>
      <c r="W67" s="14" t="s">
        <v>38</v>
      </c>
      <c r="X67" s="2"/>
      <c r="Y67" s="13" t="s">
        <v>38</v>
      </c>
      <c r="Z67" s="2"/>
      <c r="AA67" s="14" t="s">
        <v>38</v>
      </c>
      <c r="AB67" s="2"/>
      <c r="AC67" s="13" t="s">
        <v>38</v>
      </c>
      <c r="AD67" s="2"/>
      <c r="AE67" s="14" t="s">
        <v>38</v>
      </c>
      <c r="AF67" s="2"/>
      <c r="AG67" s="13" t="s">
        <v>38</v>
      </c>
      <c r="AH67" s="2"/>
      <c r="AI67" s="14" t="s">
        <v>38</v>
      </c>
      <c r="AJ67" s="2"/>
      <c r="AK67" s="13" t="s">
        <v>38</v>
      </c>
      <c r="AL67" s="2"/>
      <c r="AM67" s="14" t="s">
        <v>38</v>
      </c>
      <c r="AN67" s="2"/>
      <c r="AO67" s="13" t="s">
        <v>38</v>
      </c>
      <c r="AP67" s="2"/>
      <c r="AQ67" s="14" t="s">
        <v>38</v>
      </c>
      <c r="AR67" s="2"/>
      <c r="AS67" s="13" t="s">
        <v>38</v>
      </c>
      <c r="AT67" s="2"/>
      <c r="AU67" s="14" t="s">
        <v>38</v>
      </c>
      <c r="AV67" s="2"/>
      <c r="AW67" s="13" t="s">
        <v>38</v>
      </c>
      <c r="AX67" s="2"/>
      <c r="AY67" s="14" t="s">
        <v>38</v>
      </c>
      <c r="AZ67" s="2"/>
      <c r="BA67" s="13" t="s">
        <v>38</v>
      </c>
      <c r="BB67" s="2"/>
      <c r="BC67" s="115"/>
    </row>
    <row r="68" spans="1:55" x14ac:dyDescent="0.2">
      <c r="A68" s="2"/>
      <c r="B68" s="2"/>
      <c r="C68" s="2"/>
      <c r="D68" s="2">
        <f>IF(D$10=$T$6,MAX($V$6-Stock!E68,0),IF(D$10&lt;$T$6,($AB$6*(F66-F70)+F70)/$Z$6,""))</f>
        <v>39.018850107135677</v>
      </c>
      <c r="E68" s="8"/>
      <c r="F68" s="2"/>
      <c r="G68" s="4"/>
      <c r="H68" s="2">
        <f>IF(H$10=$T$6,MAX($V$6-Stock!I68,0),IF(H$10&lt;$T$6,($AB$6*(J66-J70)+J70)/$Z$6,""))</f>
        <v>37.949172737106913</v>
      </c>
      <c r="I68" s="8"/>
      <c r="J68" s="2"/>
      <c r="K68" s="2"/>
      <c r="L68" s="2">
        <f>IF(L$10=$T$6,MAX($V$6-Stock!M68,0),IF(L$10&lt;$T$6,($AB$6*(N66-N70)+N70)/$Z$6,""))</f>
        <v>36.819513542624129</v>
      </c>
      <c r="M68" s="8"/>
      <c r="N68" s="2"/>
      <c r="O68" s="2"/>
      <c r="P68" s="2">
        <f>IF(P$10=$T$6,MAX($V$6-Stock!Q68,0),IF(P$10&lt;$T$6,($AB$6*(R66-R70)+R70)/$Z$6,""))</f>
        <v>35.621369285893032</v>
      </c>
      <c r="Q68" s="8"/>
      <c r="R68" s="2"/>
      <c r="S68" s="2"/>
      <c r="T68" s="2">
        <f>IF(T$10=$T$6,MAX($V$6-Stock!U68,0),IF(T$10&lt;$T$6,($AB$6*(V66-V70)+V70)/$Z$6,""))</f>
        <v>34.3440056228374</v>
      </c>
      <c r="U68" s="8"/>
      <c r="V68" s="2"/>
      <c r="W68" s="2"/>
      <c r="X68" s="2">
        <f>IF(X$10=$T$6,MAX($V$6-Stock!Y68,0),IF(X$10&lt;$T$6,($AB$6*(Z66-Z70)+Z70)/$Z$6,""))</f>
        <v>32.973539557503166</v>
      </c>
      <c r="Y68" s="8"/>
      <c r="Z68" s="2"/>
      <c r="AA68" s="2"/>
      <c r="AB68" s="2">
        <f>IF(AB$10=$T$6,MAX($V$6-Stock!AC68,0),IF(AB$10&lt;$T$6,($AB$6*(AD66-AD70)+AD70)/$Z$6,""))</f>
        <v>31.491471747952669</v>
      </c>
      <c r="AC68" s="8"/>
      <c r="AD68" s="2"/>
      <c r="AE68" s="2"/>
      <c r="AF68" s="2">
        <f>IF(AF$10=$T$6,MAX($V$6-Stock!AG68,0),IF(AF$10&lt;$T$6,($AB$6*(AH66-AH70)+AH70)/$Z$6,""))</f>
        <v>29.872203356711225</v>
      </c>
      <c r="AG68" s="8"/>
      <c r="AH68" s="2"/>
      <c r="AI68" s="2"/>
      <c r="AJ68" s="2">
        <f>IF(AJ$10=$T$6,MAX($V$6-Stock!AK68,0),IF(AJ$10&lt;$T$6,($AB$6*(AL66-AL70)+AL70)/$Z$6,""))</f>
        <v>28.078522396702237</v>
      </c>
      <c r="AK68" s="8"/>
      <c r="AL68" s="2"/>
      <c r="AM68" s="2"/>
      <c r="AN68" s="2">
        <f>IF(AN$10=$T$6,MAX($V$6-Stock!AO68,0),IF(AN$10&lt;$T$6,($AB$6*(AP66-AP70)+AP70)/$Z$6,""))</f>
        <v>26.052578747356108</v>
      </c>
      <c r="AO68" s="8"/>
      <c r="AP68" s="2"/>
      <c r="AQ68" s="2"/>
      <c r="AR68" s="2">
        <f>IF(AR$10=$T$6,MAX($V$6-Stock!AS68,0),IF(AR$10&lt;$T$6,($AB$6*(AT66-AT70)+AT70)/$Z$6,""))</f>
        <v>23.69526092714295</v>
      </c>
      <c r="AS68" s="8"/>
      <c r="AT68" s="2"/>
      <c r="AU68" s="2"/>
      <c r="AV68" s="2">
        <f>IF(AV$10=$T$6,MAX($V$6-Stock!AW68,0),IF(AV$10&lt;$T$6,($AB$6*(AX66-AX70)+AX70)/$Z$6,""))</f>
        <v>20.808465901566628</v>
      </c>
      <c r="AW68" s="8"/>
      <c r="AX68" s="2"/>
      <c r="AY68" s="2"/>
      <c r="AZ68" s="2">
        <f>IF(AZ$10=$T$6,MAX($V$6-Stock!BA68,0),IF(AZ$10&lt;$T$6,($AB$6*(BB66-BB70)+BB70)/$Z$6,""))</f>
        <v>16.86423763454793</v>
      </c>
      <c r="BA68" s="8"/>
      <c r="BB68" s="2"/>
    </row>
    <row r="69" spans="1:55" ht="14.25" x14ac:dyDescent="0.2">
      <c r="A69" s="2"/>
      <c r="B69" s="2"/>
      <c r="C69" s="2"/>
      <c r="D69" s="2"/>
      <c r="E69" s="14" t="s">
        <v>38</v>
      </c>
      <c r="F69" s="2"/>
      <c r="G69" s="13" t="s">
        <v>38</v>
      </c>
      <c r="H69" s="2"/>
      <c r="I69" s="14" t="s">
        <v>38</v>
      </c>
      <c r="J69" s="2"/>
      <c r="K69" s="13" t="s">
        <v>38</v>
      </c>
      <c r="L69" s="2"/>
      <c r="M69" s="14" t="s">
        <v>38</v>
      </c>
      <c r="N69" s="2"/>
      <c r="O69" s="13" t="s">
        <v>38</v>
      </c>
      <c r="P69" s="2"/>
      <c r="Q69" s="14" t="s">
        <v>38</v>
      </c>
      <c r="R69" s="2"/>
      <c r="S69" s="13" t="s">
        <v>38</v>
      </c>
      <c r="T69" s="2"/>
      <c r="U69" s="14" t="s">
        <v>38</v>
      </c>
      <c r="V69" s="2"/>
      <c r="W69" s="13" t="s">
        <v>38</v>
      </c>
      <c r="X69" s="2"/>
      <c r="Y69" s="14" t="s">
        <v>38</v>
      </c>
      <c r="Z69" s="2"/>
      <c r="AA69" s="13" t="s">
        <v>38</v>
      </c>
      <c r="AB69" s="2"/>
      <c r="AC69" s="14" t="s">
        <v>38</v>
      </c>
      <c r="AD69" s="2"/>
      <c r="AE69" s="13" t="s">
        <v>38</v>
      </c>
      <c r="AF69" s="2"/>
      <c r="AG69" s="14" t="s">
        <v>38</v>
      </c>
      <c r="AH69" s="2"/>
      <c r="AI69" s="13" t="s">
        <v>38</v>
      </c>
      <c r="AJ69" s="2"/>
      <c r="AK69" s="14" t="s">
        <v>38</v>
      </c>
      <c r="AL69" s="2"/>
      <c r="AM69" s="13" t="s">
        <v>38</v>
      </c>
      <c r="AN69" s="2"/>
      <c r="AO69" s="14" t="s">
        <v>38</v>
      </c>
      <c r="AP69" s="2"/>
      <c r="AQ69" s="13" t="s">
        <v>38</v>
      </c>
      <c r="AR69" s="2"/>
      <c r="AS69" s="14" t="s">
        <v>38</v>
      </c>
      <c r="AT69" s="2"/>
      <c r="AU69" s="13" t="s">
        <v>38</v>
      </c>
      <c r="AV69" s="2"/>
      <c r="AW69" s="14" t="s">
        <v>38</v>
      </c>
      <c r="AX69" s="2"/>
      <c r="AY69" s="13" t="s">
        <v>38</v>
      </c>
      <c r="AZ69" s="2"/>
      <c r="BA69" s="14" t="s">
        <v>38</v>
      </c>
      <c r="BB69" s="2"/>
    </row>
    <row r="70" spans="1:55" x14ac:dyDescent="0.2">
      <c r="A70" s="2"/>
      <c r="B70" s="2"/>
      <c r="C70" s="2"/>
      <c r="D70" s="2"/>
      <c r="E70" s="2"/>
      <c r="F70" s="2">
        <f>IF(F$10=$T$6,MAX($V$6-Stock!G70,0),IF(F$10&lt;$T$6,($AB$6*(H68-H72)+H72)/$Z$6,""))</f>
        <v>47.503830297218791</v>
      </c>
      <c r="G70" s="8"/>
      <c r="H70" s="2"/>
      <c r="I70" s="2"/>
      <c r="J70" s="2">
        <f>IF(J$10=$T$6,MAX($V$6-Stock!K70,0),IF(J$10&lt;$T$6,($AB$6*(L68-L72)+L72)/$Z$6,""))</f>
        <v>46.543724765799219</v>
      </c>
      <c r="K70" s="8"/>
      <c r="L70" s="2"/>
      <c r="M70" s="2"/>
      <c r="N70" s="2">
        <f>IF(N$10=$T$6,MAX($V$6-Stock!O70,0),IF(N$10&lt;$T$6,($AB$6*(P68-P72)+P72)/$Z$6,""))</f>
        <v>45.534480125898725</v>
      </c>
      <c r="O70" s="8"/>
      <c r="P70" s="2"/>
      <c r="Q70" s="2"/>
      <c r="R70" s="2">
        <f>IF(R$10=$T$6,MAX($V$6-Stock!S70,0),IF(R$10&lt;$T$6,($AB$6*(T68-T72)+T72)/$Z$6,""))</f>
        <v>44.470179164079831</v>
      </c>
      <c r="S70" s="8"/>
      <c r="T70" s="2"/>
      <c r="U70" s="2"/>
      <c r="V70" s="2">
        <f>IF(V$10=$T$6,MAX($V$6-Stock!W70,0),IF(V$10&lt;$T$6,($AB$6*(X68-X72)+X72)/$Z$6,""))</f>
        <v>43.343692096918204</v>
      </c>
      <c r="W70" s="8"/>
      <c r="X70" s="2"/>
      <c r="Y70" s="2"/>
      <c r="Z70" s="2">
        <f>IF(Z$10=$T$6,MAX($V$6-Stock!AA70,0),IF(Z$10&lt;$T$6,($AB$6*(AB68-AB72)+AB72)/$Z$6,""))</f>
        <v>42.146354779940481</v>
      </c>
      <c r="AA70" s="8"/>
      <c r="AB70" s="2"/>
      <c r="AC70" s="2"/>
      <c r="AD70" s="2">
        <f>IF(AD$10=$T$6,MAX($V$6-Stock!AE70,0),IF(AD$10&lt;$T$6,($AB$6*(AF68-AF72)+AF72)/$Z$6,""))</f>
        <v>40.86759260787062</v>
      </c>
      <c r="AE70" s="8"/>
      <c r="AF70" s="2"/>
      <c r="AG70" s="2"/>
      <c r="AH70" s="2">
        <f>IF(AH$10=$T$6,MAX($V$6-Stock!AI70,0),IF(AH$10&lt;$T$6,($AB$6*(AJ68-AJ72)+AJ72)/$Z$6,""))</f>
        <v>39.49460403996887</v>
      </c>
      <c r="AI70" s="8"/>
      <c r="AJ70" s="2"/>
      <c r="AK70" s="2"/>
      <c r="AL70" s="2">
        <f>IF(AL$10=$T$6,MAX($V$6-Stock!AM70,0),IF(AL$10&lt;$T$6,($AB$6*(AN68-AN72)+AN72)/$Z$6,""))</f>
        <v>38.012625096201319</v>
      </c>
      <c r="AM70" s="8"/>
      <c r="AN70" s="2"/>
      <c r="AO70" s="2"/>
      <c r="AP70" s="2">
        <f>IF(AP$10=$T$6,MAX($V$6-Stock!AQ70,0),IF(AP$10&lt;$T$6,($AB$6*(AR68-AR72)+AR72)/$Z$6,""))</f>
        <v>36.408096755262591</v>
      </c>
      <c r="AQ70" s="8"/>
      <c r="AR70" s="2"/>
      <c r="AS70" s="2"/>
      <c r="AT70" s="2">
        <f>IF(AT$10=$T$6,MAX($V$6-Stock!AU70,0),IF(AT$10&lt;$T$6,($AB$6*(AV68-AV72)+AV72)/$Z$6,""))</f>
        <v>34.686755739865077</v>
      </c>
      <c r="AU70" s="8"/>
      <c r="AV70" s="2"/>
      <c r="AW70" s="2"/>
      <c r="AX70" s="2">
        <f>IF(AX$10=$T$6,MAX($V$6-Stock!AY70,0),IF(AX$10&lt;$T$6,($AB$6*(AZ68-AZ72)+AZ72)/$Z$6,""))</f>
        <v>32.995162761900204</v>
      </c>
      <c r="AY70" s="8"/>
      <c r="AZ70" s="2"/>
      <c r="BA70" s="2"/>
      <c r="BB70" s="2">
        <f>IF(BB$10=$T$6,MAX($V$6-Stock!BC70,0),IF(BB$10&lt;$T$6,($AB$6*(BC68-BC72)+BC72)/$Z$6,""))</f>
        <v>33.524065499452092</v>
      </c>
    </row>
    <row r="71" spans="1:55" ht="14.25" x14ac:dyDescent="0.2">
      <c r="A71" s="2"/>
      <c r="B71" s="2"/>
      <c r="C71" s="2"/>
      <c r="D71" s="2"/>
      <c r="E71" s="2"/>
      <c r="F71" s="2"/>
      <c r="G71" s="14" t="s">
        <v>38</v>
      </c>
      <c r="H71" s="2"/>
      <c r="I71" s="13" t="s">
        <v>38</v>
      </c>
      <c r="J71" s="2"/>
      <c r="K71" s="14" t="s">
        <v>38</v>
      </c>
      <c r="L71" s="2"/>
      <c r="M71" s="13" t="s">
        <v>38</v>
      </c>
      <c r="N71" s="2"/>
      <c r="O71" s="14" t="s">
        <v>38</v>
      </c>
      <c r="P71" s="2"/>
      <c r="Q71" s="13" t="s">
        <v>38</v>
      </c>
      <c r="R71" s="2"/>
      <c r="S71" s="14" t="s">
        <v>38</v>
      </c>
      <c r="T71" s="2"/>
      <c r="U71" s="13" t="s">
        <v>38</v>
      </c>
      <c r="V71" s="2"/>
      <c r="W71" s="14" t="s">
        <v>38</v>
      </c>
      <c r="X71" s="2"/>
      <c r="Y71" s="13" t="s">
        <v>38</v>
      </c>
      <c r="Z71" s="2"/>
      <c r="AA71" s="14" t="s">
        <v>38</v>
      </c>
      <c r="AB71" s="2"/>
      <c r="AC71" s="13" t="s">
        <v>38</v>
      </c>
      <c r="AD71" s="2"/>
      <c r="AE71" s="14" t="s">
        <v>38</v>
      </c>
      <c r="AF71" s="2"/>
      <c r="AG71" s="13" t="s">
        <v>38</v>
      </c>
      <c r="AH71" s="2"/>
      <c r="AI71" s="14" t="s">
        <v>38</v>
      </c>
      <c r="AJ71" s="2"/>
      <c r="AK71" s="13" t="s">
        <v>38</v>
      </c>
      <c r="AL71" s="2"/>
      <c r="AM71" s="14" t="s">
        <v>38</v>
      </c>
      <c r="AN71" s="2"/>
      <c r="AO71" s="13" t="s">
        <v>38</v>
      </c>
      <c r="AP71" s="2"/>
      <c r="AQ71" s="14" t="s">
        <v>38</v>
      </c>
      <c r="AR71" s="2"/>
      <c r="AS71" s="13" t="s">
        <v>38</v>
      </c>
      <c r="AT71" s="2"/>
      <c r="AU71" s="14" t="s">
        <v>38</v>
      </c>
      <c r="AV71" s="2"/>
      <c r="AW71" s="13" t="s">
        <v>38</v>
      </c>
      <c r="AX71" s="2"/>
      <c r="AY71" s="14" t="s">
        <v>38</v>
      </c>
      <c r="AZ71" s="2"/>
      <c r="BA71" s="13" t="s">
        <v>38</v>
      </c>
      <c r="BB71" s="2"/>
    </row>
    <row r="72" spans="1:55" x14ac:dyDescent="0.2">
      <c r="A72" s="2"/>
      <c r="B72" s="2"/>
      <c r="C72" s="2"/>
      <c r="D72" s="2"/>
      <c r="E72" s="2"/>
      <c r="F72" s="2"/>
      <c r="G72" s="2"/>
      <c r="H72" s="2">
        <f>IF(H$10=$T$6,MAX($V$6-Stock!I72,0),IF(H$10&lt;$T$6,($AB$6*(J70-J74)+J74)/$Z$6,""))</f>
        <v>56.992567736877625</v>
      </c>
      <c r="I72" s="8"/>
      <c r="J72" s="2"/>
      <c r="K72" s="2"/>
      <c r="L72" s="2">
        <f>IF(L$10=$T$6,MAX($V$6-Stock!M72,0),IF(L$10&lt;$T$6,($AB$6*(N70-N74)+N74)/$Z$6,""))</f>
        <v>56.198475587003998</v>
      </c>
      <c r="M72" s="8"/>
      <c r="N72" s="2"/>
      <c r="O72" s="2"/>
      <c r="P72" s="2">
        <f>IF(P$10=$T$6,MAX($V$6-Stock!Q72,0),IF(P$10&lt;$T$6,($AB$6*(R70-R74)+R74)/$Z$6,""))</f>
        <v>55.374265756197929</v>
      </c>
      <c r="Q72" s="8"/>
      <c r="R72" s="2"/>
      <c r="S72" s="2"/>
      <c r="T72" s="2">
        <f>IF(T$10=$T$6,MAX($V$6-Stock!U72,0),IF(T$10&lt;$T$6,($AB$6*(V70-V74)+V74)/$Z$6,""))</f>
        <v>54.518765661485759</v>
      </c>
      <c r="U72" s="8"/>
      <c r="V72" s="2"/>
      <c r="W72" s="2"/>
      <c r="X72" s="2">
        <f>IF(X$10=$T$6,MAX($V$6-Stock!Y72,0),IF(X$10&lt;$T$6,($AB$6*(Z70-Z74)+Z74)/$Z$6,""))</f>
        <v>53.631498625275697</v>
      </c>
      <c r="Y72" s="8"/>
      <c r="Z72" s="2"/>
      <c r="AA72" s="2"/>
      <c r="AB72" s="2">
        <f>IF(AB$10=$T$6,MAX($V$6-Stock!AC72,0),IF(AB$10&lt;$T$6,($AB$6*(AD70-AD74)+AD74)/$Z$6,""))</f>
        <v>52.71349216841557</v>
      </c>
      <c r="AC72" s="8"/>
      <c r="AD72" s="2"/>
      <c r="AE72" s="2"/>
      <c r="AF72" s="2">
        <f>IF(AF$10=$T$6,MAX($V$6-Stock!AG72,0),IF(AF$10&lt;$T$6,($AB$6*(AH70-AH74)+AH74)/$Z$6,""))</f>
        <v>51.768980156352612</v>
      </c>
      <c r="AG72" s="8"/>
      <c r="AH72" s="2"/>
      <c r="AI72" s="2"/>
      <c r="AJ72" s="2">
        <f>IF(AJ$10=$T$6,MAX($V$6-Stock!AK72,0),IF(AJ$10&lt;$T$6,($AB$6*(AL70-AL74)+AL74)/$Z$6,""))</f>
        <v>50.80922669627455</v>
      </c>
      <c r="AK72" s="8"/>
      <c r="AL72" s="2"/>
      <c r="AM72" s="2"/>
      <c r="AN72" s="2">
        <f>IF(AN$10=$T$6,MAX($V$6-Stock!AO72,0),IF(AN$10&lt;$T$6,($AB$6*(AP70-AP74)+AP74)/$Z$6,""))</f>
        <v>49.861955651514762</v>
      </c>
      <c r="AO72" s="8"/>
      <c r="AP72" s="2"/>
      <c r="AQ72" s="2"/>
      <c r="AR72" s="2">
        <f>IF(AR$10=$T$6,MAX($V$6-Stock!AS72,0),IF(AR$10&lt;$T$6,($AB$6*(AT70-AT74)+AT74)/$Z$6,""))</f>
        <v>48.997993188322148</v>
      </c>
      <c r="AS72" s="8"/>
      <c r="AT72" s="2"/>
      <c r="AU72" s="2"/>
      <c r="AV72" s="2">
        <f>IF(AV$10=$T$6,MAX($V$6-Stock!AW72,0),IF(AV$10&lt;$T$6,($AB$6*(AX70-AX74)+AX74)/$Z$6,""))</f>
        <v>48.42418462320024</v>
      </c>
      <c r="AW72" s="8"/>
      <c r="AX72" s="2"/>
      <c r="AY72" s="2"/>
      <c r="AZ72" s="2">
        <f>IF(AZ$10=$T$6,MAX($V$6-Stock!BA72,0),IF(AZ$10&lt;$T$6,($AB$6*(BB70-BB74)+BB74)/$Z$6,""))</f>
        <v>48.952737572454154</v>
      </c>
      <c r="BA72" s="8"/>
      <c r="BB72" s="2"/>
    </row>
    <row r="73" spans="1:55" ht="14.25" x14ac:dyDescent="0.2">
      <c r="A73" s="2"/>
      <c r="B73" s="2"/>
      <c r="C73" s="2"/>
      <c r="D73" s="2"/>
      <c r="E73" s="2"/>
      <c r="F73" s="2"/>
      <c r="G73" s="2"/>
      <c r="H73" s="2"/>
      <c r="I73" s="14" t="s">
        <v>38</v>
      </c>
      <c r="J73" s="2"/>
      <c r="K73" s="13" t="s">
        <v>38</v>
      </c>
      <c r="L73" s="2"/>
      <c r="M73" s="14" t="s">
        <v>38</v>
      </c>
      <c r="N73" s="2"/>
      <c r="O73" s="13" t="s">
        <v>38</v>
      </c>
      <c r="P73" s="2"/>
      <c r="Q73" s="14" t="s">
        <v>38</v>
      </c>
      <c r="R73" s="2"/>
      <c r="S73" s="13" t="s">
        <v>38</v>
      </c>
      <c r="T73" s="2"/>
      <c r="U73" s="14" t="s">
        <v>38</v>
      </c>
      <c r="V73" s="2"/>
      <c r="W73" s="13" t="s">
        <v>38</v>
      </c>
      <c r="X73" s="2"/>
      <c r="Y73" s="14" t="s">
        <v>38</v>
      </c>
      <c r="Z73" s="2"/>
      <c r="AA73" s="13" t="s">
        <v>38</v>
      </c>
      <c r="AB73" s="2"/>
      <c r="AC73" s="14" t="s">
        <v>38</v>
      </c>
      <c r="AD73" s="2"/>
      <c r="AE73" s="13" t="s">
        <v>38</v>
      </c>
      <c r="AF73" s="2"/>
      <c r="AG73" s="14" t="s">
        <v>38</v>
      </c>
      <c r="AH73" s="2"/>
      <c r="AI73" s="13" t="s">
        <v>38</v>
      </c>
      <c r="AJ73" s="2"/>
      <c r="AK73" s="14" t="s">
        <v>38</v>
      </c>
      <c r="AL73" s="2"/>
      <c r="AM73" s="13" t="s">
        <v>38</v>
      </c>
      <c r="AN73" s="2"/>
      <c r="AO73" s="14" t="s">
        <v>38</v>
      </c>
      <c r="AP73" s="2"/>
      <c r="AQ73" s="13" t="s">
        <v>38</v>
      </c>
      <c r="AR73" s="2"/>
      <c r="AS73" s="14" t="s">
        <v>38</v>
      </c>
      <c r="AT73" s="2"/>
      <c r="AU73" s="13" t="s">
        <v>38</v>
      </c>
      <c r="AV73" s="2"/>
      <c r="AW73" s="14" t="s">
        <v>38</v>
      </c>
      <c r="AX73" s="2"/>
      <c r="AY73" s="13" t="s">
        <v>38</v>
      </c>
      <c r="AZ73" s="2"/>
      <c r="BA73" s="14" t="s">
        <v>38</v>
      </c>
      <c r="BB73" s="2"/>
    </row>
    <row r="74" spans="1:55" x14ac:dyDescent="0.2">
      <c r="A74" s="2"/>
      <c r="B74" s="2"/>
      <c r="C74" s="2"/>
      <c r="D74" s="2"/>
      <c r="E74" s="2"/>
      <c r="F74" s="2"/>
      <c r="G74" s="2"/>
      <c r="H74" s="2"/>
      <c r="I74" s="2"/>
      <c r="J74" s="2">
        <f>IF(J$10=$T$6,MAX($V$6-Stock!K74,0),IF(J$10&lt;$T$6,($AB$6*(L72-L76)+L76)/$Z$6,""))</f>
        <v>67.375951323209563</v>
      </c>
      <c r="K74" s="8"/>
      <c r="L74" s="2"/>
      <c r="M74" s="2"/>
      <c r="N74" s="2">
        <f>IF(N$10=$T$6,MAX($V$6-Stock!O74,0),IF(N$10&lt;$T$6,($AB$6*(P72-P76)+P76)/$Z$6,""))</f>
        <v>66.793076989315963</v>
      </c>
      <c r="O74" s="8"/>
      <c r="P74" s="2"/>
      <c r="Q74" s="2"/>
      <c r="R74" s="2">
        <f>IF(R$10=$T$6,MAX($V$6-Stock!S74,0),IF(R$10&lt;$T$6,($AB$6*(T72-T76)+T76)/$Z$6,""))</f>
        <v>66.204648955314767</v>
      </c>
      <c r="S74" s="8"/>
      <c r="T74" s="2"/>
      <c r="U74" s="2"/>
      <c r="V74" s="2">
        <f>IF(V$10=$T$6,MAX($V$6-Stock!W74,0),IF(V$10&lt;$T$6,($AB$6*(X72-X76)+X76)/$Z$6,""))</f>
        <v>65.615370258670708</v>
      </c>
      <c r="W74" s="8"/>
      <c r="X74" s="2"/>
      <c r="Y74" s="2"/>
      <c r="Z74" s="2">
        <f>IF(Z$10=$T$6,MAX($V$6-Stock!AA74,0),IF(Z$10&lt;$T$6,($AB$6*(AB72-AB76)+AB76)/$Z$6,""))</f>
        <v>65.03284105862987</v>
      </c>
      <c r="AA74" s="8"/>
      <c r="AB74" s="2"/>
      <c r="AC74" s="2"/>
      <c r="AD74" s="2">
        <f>IF(AD$10=$T$6,MAX($V$6-Stock!AE74,0),IF(AD$10&lt;$T$6,($AB$6*(AF72-AF76)+AF76)/$Z$6,""))</f>
        <v>64.469536471729612</v>
      </c>
      <c r="AE74" s="8"/>
      <c r="AF74" s="2"/>
      <c r="AG74" s="2"/>
      <c r="AH74" s="2">
        <f>IF(AH$10=$T$6,MAX($V$6-Stock!AI74,0),IF(AH$10&lt;$T$6,($AB$6*(AJ72-AJ76)+AJ76)/$Z$6,""))</f>
        <v>63.946502455212013</v>
      </c>
      <c r="AI74" s="8"/>
      <c r="AJ74" s="2"/>
      <c r="AK74" s="2"/>
      <c r="AL74" s="2">
        <f>IF(AL$10=$T$6,MAX($V$6-Stock!AM74,0),IF(AL$10&lt;$T$6,($AB$6*(AN72-AN76)+AN76)/$Z$6,""))</f>
        <v>63.500696309713909</v>
      </c>
      <c r="AM74" s="8"/>
      <c r="AN74" s="2"/>
      <c r="AO74" s="2"/>
      <c r="AP74" s="2">
        <f>IF(AP$10=$T$6,MAX($V$6-Stock!AQ74,0),IF(AP$10&lt;$T$6,($AB$6*(AR72-AR76)+AR76)/$Z$6,""))</f>
        <v>63.20060657166502</v>
      </c>
      <c r="AQ74" s="8"/>
      <c r="AR74" s="2"/>
      <c r="AS74" s="2"/>
      <c r="AT74" s="2">
        <f>IF(AT$10=$T$6,MAX($V$6-Stock!AU74,0),IF(AT$10&lt;$T$6,($AB$6*(AV72-AV76)+AV76)/$Z$6,""))</f>
        <v>63.181367450035992</v>
      </c>
      <c r="AU74" s="8"/>
      <c r="AV74" s="2"/>
      <c r="AW74" s="2"/>
      <c r="AX74" s="2">
        <f>IF(AX$10=$T$6,MAX($V$6-Stock!AY74,0),IF(AX$10&lt;$T$6,($AB$6*(AZ72-AZ76)+AZ76)/$Z$6,""))</f>
        <v>63.709570842323402</v>
      </c>
      <c r="AY74" s="8"/>
      <c r="AZ74" s="2"/>
      <c r="BA74" s="2"/>
      <c r="BB74" s="2">
        <f>IF(BB$10=$T$6,MAX($V$6-Stock!BC74,0),IF(BB$10&lt;$T$6,($AB$6*(BC72-BC76)+BC76)/$Z$6,""))</f>
        <v>64.23847357987529</v>
      </c>
    </row>
    <row r="75" spans="1:55" ht="14.2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14" t="s">
        <v>38</v>
      </c>
      <c r="L75" s="2"/>
      <c r="M75" s="13" t="s">
        <v>38</v>
      </c>
      <c r="N75" s="2"/>
      <c r="O75" s="14" t="s">
        <v>38</v>
      </c>
      <c r="P75" s="2"/>
      <c r="Q75" s="13" t="s">
        <v>38</v>
      </c>
      <c r="R75" s="2"/>
      <c r="S75" s="14" t="s">
        <v>38</v>
      </c>
      <c r="T75" s="2"/>
      <c r="U75" s="13" t="s">
        <v>38</v>
      </c>
      <c r="V75" s="2"/>
      <c r="W75" s="14" t="s">
        <v>38</v>
      </c>
      <c r="X75" s="2"/>
      <c r="Y75" s="13" t="s">
        <v>38</v>
      </c>
      <c r="Z75" s="2"/>
      <c r="AA75" s="14" t="s">
        <v>38</v>
      </c>
      <c r="AB75" s="2"/>
      <c r="AC75" s="13" t="s">
        <v>38</v>
      </c>
      <c r="AD75" s="2"/>
      <c r="AE75" s="14" t="s">
        <v>38</v>
      </c>
      <c r="AF75" s="2"/>
      <c r="AG75" s="13" t="s">
        <v>38</v>
      </c>
      <c r="AH75" s="2"/>
      <c r="AI75" s="14" t="s">
        <v>38</v>
      </c>
      <c r="AJ75" s="2"/>
      <c r="AK75" s="13" t="s">
        <v>38</v>
      </c>
      <c r="AL75" s="2"/>
      <c r="AM75" s="14" t="s">
        <v>38</v>
      </c>
      <c r="AN75" s="2"/>
      <c r="AO75" s="13" t="s">
        <v>38</v>
      </c>
      <c r="AP75" s="2"/>
      <c r="AQ75" s="14" t="s">
        <v>38</v>
      </c>
      <c r="AR75" s="2"/>
      <c r="AS75" s="13" t="s">
        <v>38</v>
      </c>
      <c r="AT75" s="2"/>
      <c r="AU75" s="14" t="s">
        <v>38</v>
      </c>
      <c r="AV75" s="2"/>
      <c r="AW75" s="13" t="s">
        <v>38</v>
      </c>
      <c r="AX75" s="2"/>
      <c r="AY75" s="14" t="s">
        <v>38</v>
      </c>
      <c r="AZ75" s="2"/>
      <c r="BA75" s="13" t="s">
        <v>38</v>
      </c>
      <c r="BB75" s="2"/>
    </row>
    <row r="76" spans="1:5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>
        <f>IF(L$10=$T$6,MAX($V$6-Stock!M76,0),IF(L$10&lt;$T$6,($AB$6*(N74-N78)+N78)/$Z$6,""))</f>
        <v>78.491828877886007</v>
      </c>
      <c r="M76" s="8"/>
      <c r="N76" s="2"/>
      <c r="O76" s="2"/>
      <c r="P76" s="2">
        <f>IF(P$10=$T$6,MAX($V$6-Stock!Q76,0),IF(P$10&lt;$T$6,($AB$6*(R74-R78)+R78)/$Z$6,""))</f>
        <v>78.146281266411975</v>
      </c>
      <c r="Q76" s="8"/>
      <c r="R76" s="2"/>
      <c r="S76" s="2"/>
      <c r="T76" s="2">
        <f>IF(T$10=$T$6,MAX($V$6-Stock!U76,0),IF(T$10&lt;$T$6,($AB$6*(V74-V78)+V78)/$Z$6,""))</f>
        <v>77.820563431639627</v>
      </c>
      <c r="U76" s="8"/>
      <c r="V76" s="2"/>
      <c r="W76" s="2"/>
      <c r="X76" s="2">
        <f>IF(X$10=$T$6,MAX($V$6-Stock!Y76,0),IF(X$10&lt;$T$6,($AB$6*(Z74-Z78)+Z78)/$Z$6,""))</f>
        <v>77.524494716594688</v>
      </c>
      <c r="Y76" s="8"/>
      <c r="Z76" s="2"/>
      <c r="AA76" s="2"/>
      <c r="AB76" s="2">
        <f>IF(AB$10=$T$6,MAX($V$6-Stock!AC76,0),IF(AB$10&lt;$T$6,($AB$6*(AD74-AD78)+AD78)/$Z$6,""))</f>
        <v>77.272169603475476</v>
      </c>
      <c r="AC76" s="8"/>
      <c r="AD76" s="2"/>
      <c r="AE76" s="2"/>
      <c r="AF76" s="2">
        <f>IF(AF$10=$T$6,MAX($V$6-Stock!AG76,0),IF(AF$10&lt;$T$6,($AB$6*(AH74-AH78)+AH78)/$Z$6,""))</f>
        <v>77.084210134683872</v>
      </c>
      <c r="AG76" s="8"/>
      <c r="AH76" s="2"/>
      <c r="AI76" s="2"/>
      <c r="AJ76" s="2">
        <f>IF(AJ$10=$T$6,MAX($V$6-Stock!AK76,0),IF(AJ$10&lt;$T$6,($AB$6*(AL74-AL78)+AL78)/$Z$6,""))</f>
        <v>76.991340361346616</v>
      </c>
      <c r="AK76" s="8"/>
      <c r="AL76" s="2"/>
      <c r="AM76" s="2"/>
      <c r="AN76" s="2">
        <f>IF(AN$10=$T$6,MAX($V$6-Stock!AO76,0),IF(AN$10&lt;$T$6,($AB$6*(AP74-AP78)+AP78)/$Z$6,""))</f>
        <v>77.039675551772433</v>
      </c>
      <c r="AO76" s="8"/>
      <c r="AP76" s="2"/>
      <c r="AQ76" s="2"/>
      <c r="AR76" s="2">
        <f>IF(AR$10=$T$6,MAX($V$6-Stock!AS76,0),IF(AR$10&lt;$T$6,($AB$6*(AT74-AT78)+AT78)/$Z$6,""))</f>
        <v>77.295488060363226</v>
      </c>
      <c r="AS76" s="8"/>
      <c r="AT76" s="2"/>
      <c r="AU76" s="2"/>
      <c r="AV76" s="2">
        <f>IF(AV$10=$T$6,MAX($V$6-Stock!AW76,0),IF(AV$10&lt;$T$6,($AB$6*(AX74-AX78)+AX78)/$Z$6,""))</f>
        <v>77.823342126862627</v>
      </c>
      <c r="AW76" s="8"/>
      <c r="AX76" s="2"/>
      <c r="AY76" s="2"/>
      <c r="AZ76" s="2">
        <f>IF(AZ$10=$T$6,MAX($V$6-Stock!BA76,0),IF(AZ$10&lt;$T$6,($AB$6*(BB74-BB78)+BB78)/$Z$6,""))</f>
        <v>78.351895076116534</v>
      </c>
      <c r="BA76" s="8"/>
      <c r="BB76" s="2"/>
    </row>
    <row r="77" spans="1:55" ht="14.2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14" t="s">
        <v>38</v>
      </c>
      <c r="N77" s="2"/>
      <c r="O77" s="13" t="s">
        <v>38</v>
      </c>
      <c r="P77" s="2"/>
      <c r="Q77" s="14" t="s">
        <v>38</v>
      </c>
      <c r="R77" s="2"/>
      <c r="S77" s="13" t="s">
        <v>38</v>
      </c>
      <c r="T77" s="2"/>
      <c r="U77" s="14" t="s">
        <v>38</v>
      </c>
      <c r="V77" s="2"/>
      <c r="W77" s="13" t="s">
        <v>38</v>
      </c>
      <c r="X77" s="2"/>
      <c r="Y77" s="14" t="s">
        <v>38</v>
      </c>
      <c r="Z77" s="2"/>
      <c r="AA77" s="13" t="s">
        <v>38</v>
      </c>
      <c r="AB77" s="2"/>
      <c r="AC77" s="14" t="s">
        <v>38</v>
      </c>
      <c r="AD77" s="2"/>
      <c r="AE77" s="13" t="s">
        <v>38</v>
      </c>
      <c r="AF77" s="2"/>
      <c r="AG77" s="14" t="s">
        <v>38</v>
      </c>
      <c r="AH77" s="2"/>
      <c r="AI77" s="13" t="s">
        <v>38</v>
      </c>
      <c r="AJ77" s="2"/>
      <c r="AK77" s="14" t="s">
        <v>38</v>
      </c>
      <c r="AL77" s="2"/>
      <c r="AM77" s="13" t="s">
        <v>38</v>
      </c>
      <c r="AN77" s="2"/>
      <c r="AO77" s="14" t="s">
        <v>38</v>
      </c>
      <c r="AP77" s="2"/>
      <c r="AQ77" s="13" t="s">
        <v>38</v>
      </c>
      <c r="AR77" s="2"/>
      <c r="AS77" s="14" t="s">
        <v>38</v>
      </c>
      <c r="AT77" s="2"/>
      <c r="AU77" s="13" t="s">
        <v>38</v>
      </c>
      <c r="AV77" s="2"/>
      <c r="AW77" s="14" t="s">
        <v>38</v>
      </c>
      <c r="AX77" s="2"/>
      <c r="AY77" s="13" t="s">
        <v>38</v>
      </c>
      <c r="AZ77" s="2"/>
      <c r="BA77" s="14" t="s">
        <v>38</v>
      </c>
      <c r="BB77" s="2"/>
    </row>
    <row r="78" spans="1:5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>
        <f>IF(N$10=$T$6,MAX($V$6-Stock!O78,0),IF(N$10&lt;$T$6,($AB$6*(P76-P80)+P80)/$Z$6,""))</f>
        <v>90.136592738278281</v>
      </c>
      <c r="O78" s="8"/>
      <c r="P78" s="2"/>
      <c r="Q78" s="2"/>
      <c r="R78" s="2">
        <f>IF(R$10=$T$6,MAX($V$6-Stock!S78,0),IF(R$10&lt;$T$6,($AB$6*(T76-T80)+T80)/$Z$6,""))</f>
        <v>90.030208026111509</v>
      </c>
      <c r="S78" s="8"/>
      <c r="T78" s="2"/>
      <c r="U78" s="2"/>
      <c r="V78" s="2">
        <f>IF(V$10=$T$6,MAX($V$6-Stock!W78,0),IF(V$10&lt;$T$6,($AB$6*(X76-X80)+X80)/$Z$6,""))</f>
        <v>89.964081746067265</v>
      </c>
      <c r="W78" s="8"/>
      <c r="X78" s="2"/>
      <c r="Y78" s="2"/>
      <c r="Z78" s="2">
        <f>IF(Z$10=$T$6,MAX($V$6-Stock!AA78,0),IF(Z$10&lt;$T$6,($AB$6*(AB76-AB80)+AB80)/$Z$6,""))</f>
        <v>89.950235518205034</v>
      </c>
      <c r="AA78" s="8"/>
      <c r="AB78" s="2"/>
      <c r="AC78" s="2"/>
      <c r="AD78" s="2">
        <f>IF(AD$10=$T$6,MAX($V$6-Stock!AE78,0),IF(AD$10&lt;$T$6,($AB$6*(AF76-AF80)+AF80)/$Z$6,""))</f>
        <v>90.004379962974298</v>
      </c>
      <c r="AE78" s="8"/>
      <c r="AF78" s="2"/>
      <c r="AG78" s="2"/>
      <c r="AH78" s="2">
        <f>IF(AH$10=$T$6,MAX($V$6-Stock!AI78,0),IF(AH$10&lt;$T$6,($AB$6*(AJ76-AJ80)+AJ80)/$Z$6,""))</f>
        <v>90.146746014826064</v>
      </c>
      <c r="AI78" s="8"/>
      <c r="AJ78" s="2"/>
      <c r="AK78" s="2"/>
      <c r="AL78" s="2">
        <f>IF(AL$10=$T$6,MAX($V$6-Stock!AM78,0),IF(AL$10&lt;$T$6,($AB$6*(AN76-AN80)+AN80)/$Z$6,""))</f>
        <v>90.401948614936373</v>
      </c>
      <c r="AM78" s="8"/>
      <c r="AN78" s="2"/>
      <c r="AO78" s="2"/>
      <c r="AP78" s="2">
        <f>IF(AP$10=$T$6,MAX($V$6-Stock!AQ78,0),IF(AP$10&lt;$T$6,($AB$6*(AR76-AR80)+AR80)/$Z$6,""))</f>
        <v>90.794090988059665</v>
      </c>
      <c r="AQ78" s="8"/>
      <c r="AR78" s="2"/>
      <c r="AS78" s="2"/>
      <c r="AT78" s="2">
        <f>IF(AT$10=$T$6,MAX($V$6-Stock!AU78,0),IF(AT$10&lt;$T$6,($AB$6*(AV76-AV80)+AV80)/$Z$6,""))</f>
        <v>91.321595959796667</v>
      </c>
      <c r="AU78" s="8"/>
      <c r="AV78" s="2"/>
      <c r="AW78" s="2"/>
      <c r="AX78" s="2">
        <f>IF(AX$10=$T$6,MAX($V$6-Stock!AY78,0),IF(AX$10&lt;$T$6,($AB$6*(AZ76-AZ80)+AZ80)/$Z$6,""))</f>
        <v>91.849799352084077</v>
      </c>
      <c r="AY78" s="8"/>
      <c r="AZ78" s="2"/>
      <c r="BA78" s="2"/>
      <c r="BB78" s="2">
        <f>IF(BB$10=$T$6,MAX($V$6-Stock!BC78,0),IF(BB$10&lt;$T$6,($AB$6*(BC76-BC80)+BC80)/$Z$6,""))</f>
        <v>92.378702089635965</v>
      </c>
    </row>
    <row r="79" spans="1:55" ht="14.2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14" t="s">
        <v>38</v>
      </c>
      <c r="P79" s="2"/>
      <c r="Q79" s="13" t="s">
        <v>38</v>
      </c>
      <c r="R79" s="2"/>
      <c r="S79" s="14" t="s">
        <v>38</v>
      </c>
      <c r="T79" s="2"/>
      <c r="U79" s="13" t="s">
        <v>38</v>
      </c>
      <c r="V79" s="2"/>
      <c r="W79" s="14" t="s">
        <v>38</v>
      </c>
      <c r="X79" s="2"/>
      <c r="Y79" s="13" t="s">
        <v>38</v>
      </c>
      <c r="Z79" s="2"/>
      <c r="AA79" s="14" t="s">
        <v>38</v>
      </c>
      <c r="AB79" s="2"/>
      <c r="AC79" s="13" t="s">
        <v>38</v>
      </c>
      <c r="AD79" s="2"/>
      <c r="AE79" s="14" t="s">
        <v>38</v>
      </c>
      <c r="AF79" s="2"/>
      <c r="AG79" s="13" t="s">
        <v>38</v>
      </c>
      <c r="AH79" s="2"/>
      <c r="AI79" s="14" t="s">
        <v>38</v>
      </c>
      <c r="AJ79" s="2"/>
      <c r="AK79" s="13" t="s">
        <v>38</v>
      </c>
      <c r="AL79" s="2"/>
      <c r="AM79" s="14" t="s">
        <v>38</v>
      </c>
      <c r="AN79" s="2"/>
      <c r="AO79" s="13" t="s">
        <v>38</v>
      </c>
      <c r="AP79" s="2"/>
      <c r="AQ79" s="14" t="s">
        <v>38</v>
      </c>
      <c r="AR79" s="2"/>
      <c r="AS79" s="13" t="s">
        <v>38</v>
      </c>
      <c r="AT79" s="2"/>
      <c r="AU79" s="14" t="s">
        <v>38</v>
      </c>
      <c r="AV79" s="2"/>
      <c r="AW79" s="13" t="s">
        <v>38</v>
      </c>
      <c r="AX79" s="2"/>
      <c r="AY79" s="14" t="s">
        <v>38</v>
      </c>
      <c r="AZ79" s="2"/>
      <c r="BA79" s="13" t="s">
        <v>38</v>
      </c>
      <c r="BB79" s="2"/>
    </row>
    <row r="80" spans="1:5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>
        <f>IF(P$10=$T$6,MAX($V$6-Stock!Q80,0),IF(P$10&lt;$T$6,($AB$6*(R78-R82)+R82)/$Z$6,""))</f>
        <v>102.08430802589842</v>
      </c>
      <c r="Q80" s="8"/>
      <c r="R80" s="2"/>
      <c r="S80" s="2"/>
      <c r="T80" s="2">
        <f>IF(T$10=$T$6,MAX($V$6-Stock!U80,0),IF(T$10&lt;$T$6,($AB$6*(V78-V82)+V82)/$Z$6,""))</f>
        <v>102.19416970697486</v>
      </c>
      <c r="U80" s="8"/>
      <c r="V80" s="2"/>
      <c r="W80" s="2"/>
      <c r="X80" s="2">
        <f>IF(X$10=$T$6,MAX($V$6-Stock!Y80,0),IF(X$10&lt;$T$6,($AB$6*(Z78-Z82)+Z82)/$Z$6,""))</f>
        <v>102.35480951718279</v>
      </c>
      <c r="Y80" s="8"/>
      <c r="Z80" s="2"/>
      <c r="AA80" s="2"/>
      <c r="AB80" s="2">
        <f>IF(AB$10=$T$6,MAX($V$6-Stock!AC80,0),IF(AB$10&lt;$T$6,($AB$6*(AD78-AD82)+AD82)/$Z$6,""))</f>
        <v>102.57621986910858</v>
      </c>
      <c r="AC80" s="8"/>
      <c r="AD80" s="2"/>
      <c r="AE80" s="2"/>
      <c r="AF80" s="2">
        <f>IF(AF$10=$T$6,MAX($V$6-Stock!AG80,0),IF(AF$10&lt;$T$6,($AB$6*(AH78-AH82)+AH82)/$Z$6,""))</f>
        <v>102.86928660346037</v>
      </c>
      <c r="AG80" s="8"/>
      <c r="AH80" s="2"/>
      <c r="AI80" s="2"/>
      <c r="AJ80" s="2">
        <f>IF(AJ$10=$T$6,MAX($V$6-Stock!AK80,0),IF(AJ$10&lt;$T$6,($AB$6*(AL78-AL82)+AL82)/$Z$6,""))</f>
        <v>103.24391511628825</v>
      </c>
      <c r="AK80" s="8"/>
      <c r="AL80" s="2"/>
      <c r="AM80" s="2"/>
      <c r="AN80" s="2">
        <f>IF(AN$10=$T$6,MAX($V$6-Stock!AO80,0),IF(AN$10&lt;$T$6,($AB$6*(AP78-AP82)+AP82)/$Z$6,""))</f>
        <v>103.7035412517245</v>
      </c>
      <c r="AO80" s="8"/>
      <c r="AP80" s="2"/>
      <c r="AQ80" s="2"/>
      <c r="AR80" s="2">
        <f>IF(AR$10=$T$6,MAX($V$6-Stock!AS80,0),IF(AR$10&lt;$T$6,($AB$6*(AT78-AT82)+AT82)/$Z$6,""))</f>
        <v>104.23069735957191</v>
      </c>
      <c r="AS80" s="8"/>
      <c r="AT80" s="2"/>
      <c r="AU80" s="2"/>
      <c r="AV80" s="2">
        <f>IF(AV$10=$T$6,MAX($V$6-Stock!AW80,0),IF(AV$10&lt;$T$6,($AB$6*(AX78-AX82)+AX82)/$Z$6,""))</f>
        <v>104.75855142607131</v>
      </c>
      <c r="AW80" s="8"/>
      <c r="AX80" s="2"/>
      <c r="AY80" s="2"/>
      <c r="AZ80" s="2">
        <f>IF(AZ$10=$T$6,MAX($V$6-Stock!BA80,0),IF(AZ$10&lt;$T$6,($AB$6*(BB78-BB82)+BB82)/$Z$6,""))</f>
        <v>105.28710437532521</v>
      </c>
      <c r="BA80" s="8"/>
      <c r="BB80" s="2"/>
    </row>
    <row r="81" spans="1:54" ht="14.2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14" t="s">
        <v>38</v>
      </c>
      <c r="R81" s="2"/>
      <c r="S81" s="13" t="s">
        <v>38</v>
      </c>
      <c r="T81" s="2"/>
      <c r="U81" s="14" t="s">
        <v>38</v>
      </c>
      <c r="V81" s="2"/>
      <c r="W81" s="13" t="s">
        <v>38</v>
      </c>
      <c r="X81" s="2"/>
      <c r="Y81" s="14" t="s">
        <v>38</v>
      </c>
      <c r="Z81" s="2"/>
      <c r="AA81" s="13" t="s">
        <v>38</v>
      </c>
      <c r="AB81" s="2"/>
      <c r="AC81" s="14" t="s">
        <v>38</v>
      </c>
      <c r="AD81" s="2"/>
      <c r="AE81" s="13" t="s">
        <v>38</v>
      </c>
      <c r="AF81" s="2"/>
      <c r="AG81" s="14" t="s">
        <v>38</v>
      </c>
      <c r="AH81" s="2"/>
      <c r="AI81" s="13" t="s">
        <v>38</v>
      </c>
      <c r="AJ81" s="2"/>
      <c r="AK81" s="14" t="s">
        <v>38</v>
      </c>
      <c r="AL81" s="2"/>
      <c r="AM81" s="13" t="s">
        <v>38</v>
      </c>
      <c r="AN81" s="2"/>
      <c r="AO81" s="14" t="s">
        <v>38</v>
      </c>
      <c r="AP81" s="2"/>
      <c r="AQ81" s="13" t="s">
        <v>38</v>
      </c>
      <c r="AR81" s="2"/>
      <c r="AS81" s="14" t="s">
        <v>38</v>
      </c>
      <c r="AT81" s="2"/>
      <c r="AU81" s="13" t="s">
        <v>38</v>
      </c>
      <c r="AV81" s="2"/>
      <c r="AW81" s="14" t="s">
        <v>38</v>
      </c>
      <c r="AX81" s="2"/>
      <c r="AY81" s="13" t="s">
        <v>38</v>
      </c>
      <c r="AZ81" s="2"/>
      <c r="BA81" s="14" t="s">
        <v>38</v>
      </c>
      <c r="BB81" s="2"/>
    </row>
    <row r="82" spans="1:54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>
        <f>IF(R$10=$T$6,MAX($V$6-Stock!S82,0),IF(R$10&lt;$T$6,($AB$6*(T80-T84)+T84)/$Z$6,""))</f>
        <v>114.11066220520927</v>
      </c>
      <c r="S82" s="8"/>
      <c r="T82" s="2"/>
      <c r="U82" s="2"/>
      <c r="V82" s="2">
        <f>IF(V$10=$T$6,MAX($V$6-Stock!W82,0),IF(V$10&lt;$T$6,($AB$6*(X80-X84)+X84)/$Z$6,""))</f>
        <v>114.39429177982542</v>
      </c>
      <c r="W82" s="8"/>
      <c r="X82" s="2"/>
      <c r="Y82" s="2"/>
      <c r="Z82" s="2">
        <f>IF(Z$10=$T$6,MAX($V$6-Stock!AA82,0),IF(Z$10&lt;$T$6,($AB$6*(AB80-AB84)+AB84)/$Z$6,""))</f>
        <v>114.72728449662414</v>
      </c>
      <c r="AA82" s="8"/>
      <c r="AB82" s="2"/>
      <c r="AC82" s="2"/>
      <c r="AD82" s="2">
        <f>IF(AD$10=$T$6,MAX($V$6-Stock!AE82,0),IF(AD$10&lt;$T$6,($AB$6*(AF80-AF84)+AF84)/$Z$6,""))</f>
        <v>115.11400452457382</v>
      </c>
      <c r="AE82" s="8"/>
      <c r="AF82" s="2"/>
      <c r="AG82" s="2"/>
      <c r="AH82" s="2">
        <f>IF(AH$10=$T$6,MAX($V$6-Stock!AI82,0),IF(AH$10&lt;$T$6,($AB$6*(AJ80-AJ84)+AJ84)/$Z$6,""))</f>
        <v>115.55613247877045</v>
      </c>
      <c r="AI82" s="8"/>
      <c r="AJ82" s="2"/>
      <c r="AK82" s="2"/>
      <c r="AL82" s="2">
        <f>IF(AL$10=$T$6,MAX($V$6-Stock!AM82,0),IF(AL$10&lt;$T$6,($AB$6*(AN80-AN84)+AN84)/$Z$6,""))</f>
        <v>116.04907486381551</v>
      </c>
      <c r="AM82" s="8"/>
      <c r="AN82" s="2"/>
      <c r="AO82" s="2"/>
      <c r="AP82" s="2">
        <f>IF(AP$10=$T$6,MAX($V$6-Stock!AQ82,0),IF(AP$10&lt;$T$6,($AB$6*(AR80-AR84)+AR84)/$Z$6,""))</f>
        <v>116.57588233849343</v>
      </c>
      <c r="AQ82" s="8"/>
      <c r="AR82" s="2"/>
      <c r="AS82" s="2"/>
      <c r="AT82" s="2">
        <f>IF(AT$10=$T$6,MAX($V$6-Stock!AU82,0),IF(AT$10&lt;$T$6,($AB$6*(AV80-AV84)+AV84)/$Z$6,""))</f>
        <v>117.10338731023043</v>
      </c>
      <c r="AU82" s="8"/>
      <c r="AV82" s="2"/>
      <c r="AW82" s="2"/>
      <c r="AX82" s="2">
        <f>IF(AX$10=$T$6,MAX($V$6-Stock!AY82,0),IF(AX$10&lt;$T$6,($AB$6*(AZ80-AZ84)+AZ84)/$Z$6,""))</f>
        <v>117.63159070251784</v>
      </c>
      <c r="AY82" s="8"/>
      <c r="AZ82" s="2"/>
      <c r="BA82" s="2"/>
      <c r="BB82" s="2">
        <f>IF(BB$10=$T$6,MAX($V$6-Stock!BC82,0),IF(BB$10&lt;$T$6,($AB$6*(BC80-BC84)+BC84)/$Z$6,""))</f>
        <v>118.16049344006973</v>
      </c>
    </row>
    <row r="83" spans="1:54" ht="14.2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14" t="s">
        <v>38</v>
      </c>
      <c r="T83" s="2"/>
      <c r="U83" s="13" t="s">
        <v>38</v>
      </c>
      <c r="V83" s="2"/>
      <c r="W83" s="14" t="s">
        <v>38</v>
      </c>
      <c r="X83" s="2"/>
      <c r="Y83" s="13" t="s">
        <v>38</v>
      </c>
      <c r="Z83" s="2"/>
      <c r="AA83" s="14" t="s">
        <v>38</v>
      </c>
      <c r="AB83" s="2"/>
      <c r="AC83" s="13" t="s">
        <v>38</v>
      </c>
      <c r="AD83" s="2"/>
      <c r="AE83" s="14" t="s">
        <v>38</v>
      </c>
      <c r="AF83" s="2"/>
      <c r="AG83" s="13" t="s">
        <v>38</v>
      </c>
      <c r="AH83" s="2"/>
      <c r="AI83" s="14" t="s">
        <v>38</v>
      </c>
      <c r="AJ83" s="2"/>
      <c r="AK83" s="13" t="s">
        <v>38</v>
      </c>
      <c r="AL83" s="2"/>
      <c r="AM83" s="14" t="s">
        <v>38</v>
      </c>
      <c r="AN83" s="2"/>
      <c r="AO83" s="13" t="s">
        <v>38</v>
      </c>
      <c r="AP83" s="2"/>
      <c r="AQ83" s="14" t="s">
        <v>38</v>
      </c>
      <c r="AR83" s="2"/>
      <c r="AS83" s="13" t="s">
        <v>38</v>
      </c>
      <c r="AT83" s="2"/>
      <c r="AU83" s="14" t="s">
        <v>38</v>
      </c>
      <c r="AV83" s="2"/>
      <c r="AW83" s="13" t="s">
        <v>38</v>
      </c>
      <c r="AX83" s="2"/>
      <c r="AY83" s="14" t="s">
        <v>38</v>
      </c>
      <c r="AZ83" s="2"/>
      <c r="BA83" s="13" t="s">
        <v>38</v>
      </c>
      <c r="BB83" s="2"/>
    </row>
    <row r="84" spans="1:54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>
        <f>IF(T$10=$T$6,MAX($V$6-Stock!U84,0),IF(T$10&lt;$T$6,($AB$6*(V82-V86)+V86)/$Z$6,""))</f>
        <v>126.01706850402813</v>
      </c>
      <c r="U84" s="8"/>
      <c r="V84" s="2"/>
      <c r="W84" s="2"/>
      <c r="X84" s="2">
        <f>IF(X$10=$T$6,MAX($V$6-Stock!Y84,0),IF(X$10&lt;$T$6,($AB$6*(Z82-Z86)+Z86)/$Z$6,""))</f>
        <v>126.42240828582646</v>
      </c>
      <c r="Y84" s="8"/>
      <c r="Z84" s="2"/>
      <c r="AA84" s="2"/>
      <c r="AB84" s="2">
        <f>IF(AB$10=$T$6,MAX($V$6-Stock!AC84,0),IF(AB$10&lt;$T$6,($AB$6*(AD82-AD86)+AD86)/$Z$6,""))</f>
        <v>126.86592197194287</v>
      </c>
      <c r="AC84" s="8"/>
      <c r="AD84" s="2"/>
      <c r="AE84" s="2"/>
      <c r="AF84" s="2">
        <f>IF(AF$10=$T$6,MAX($V$6-Stock!AG84,0),IF(AF$10&lt;$T$6,($AB$6*(AH82-AH86)+AH86)/$Z$6,""))</f>
        <v>127.34554541952564</v>
      </c>
      <c r="AG84" s="8"/>
      <c r="AH84" s="2"/>
      <c r="AI84" s="2"/>
      <c r="AJ84" s="2">
        <f>IF(AJ$10=$T$6,MAX($V$6-Stock!AK84,0),IF(AJ$10&lt;$T$6,($AB$6*(AL82-AL86)+AL86)/$Z$6,""))</f>
        <v>127.85484717688688</v>
      </c>
      <c r="AK84" s="8"/>
      <c r="AL84" s="2"/>
      <c r="AM84" s="2"/>
      <c r="AN84" s="2">
        <f>IF(AN$10=$T$6,MAX($V$6-Stock!AO84,0),IF(AN$10&lt;$T$6,($AB$6*(AP82-AP86)+AP86)/$Z$6,""))</f>
        <v>128.38130624896289</v>
      </c>
      <c r="AO84" s="8"/>
      <c r="AP84" s="2"/>
      <c r="AQ84" s="2"/>
      <c r="AR84" s="2">
        <f>IF(AR$10=$T$6,MAX($V$6-Stock!AS84,0),IF(AR$10&lt;$T$6,($AB$6*(AT82-AT86)+AT86)/$Z$6,""))</f>
        <v>128.90846235681028</v>
      </c>
      <c r="AS84" s="8"/>
      <c r="AT84" s="2"/>
      <c r="AU84" s="2"/>
      <c r="AV84" s="2">
        <f>IF(AV$10=$T$6,MAX($V$6-Stock!AW84,0),IF(AV$10&lt;$T$6,($AB$6*(AX82-AX86)+AX86)/$Z$6,""))</f>
        <v>129.43631642330968</v>
      </c>
      <c r="AW84" s="8"/>
      <c r="AX84" s="2"/>
      <c r="AY84" s="2"/>
      <c r="AZ84" s="2">
        <f>IF(AZ$10=$T$6,MAX($V$6-Stock!BA84,0),IF(AZ$10&lt;$T$6,($AB$6*(BB82-BB86)+BB86)/$Z$6,""))</f>
        <v>129.96486937256358</v>
      </c>
      <c r="BA84" s="8"/>
      <c r="BB84" s="2"/>
    </row>
    <row r="85" spans="1:54" ht="14.2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14" t="s">
        <v>38</v>
      </c>
      <c r="V85" s="2"/>
      <c r="W85" s="13" t="s">
        <v>38</v>
      </c>
      <c r="X85" s="2"/>
      <c r="Y85" s="14" t="s">
        <v>38</v>
      </c>
      <c r="Z85" s="2"/>
      <c r="AA85" s="13" t="s">
        <v>38</v>
      </c>
      <c r="AB85" s="2"/>
      <c r="AC85" s="14" t="s">
        <v>38</v>
      </c>
      <c r="AD85" s="2"/>
      <c r="AE85" s="13" t="s">
        <v>38</v>
      </c>
      <c r="AF85" s="2"/>
      <c r="AG85" s="14" t="s">
        <v>38</v>
      </c>
      <c r="AH85" s="2"/>
      <c r="AI85" s="13" t="s">
        <v>38</v>
      </c>
      <c r="AJ85" s="2"/>
      <c r="AK85" s="14" t="s">
        <v>38</v>
      </c>
      <c r="AL85" s="2"/>
      <c r="AM85" s="13" t="s">
        <v>38</v>
      </c>
      <c r="AN85" s="2"/>
      <c r="AO85" s="14" t="s">
        <v>38</v>
      </c>
      <c r="AP85" s="2"/>
      <c r="AQ85" s="13" t="s">
        <v>38</v>
      </c>
      <c r="AR85" s="2"/>
      <c r="AS85" s="14" t="s">
        <v>38</v>
      </c>
      <c r="AT85" s="2"/>
      <c r="AU85" s="13" t="s">
        <v>38</v>
      </c>
      <c r="AV85" s="2"/>
      <c r="AW85" s="14" t="s">
        <v>38</v>
      </c>
      <c r="AX85" s="2"/>
      <c r="AY85" s="13" t="s">
        <v>38</v>
      </c>
      <c r="AZ85" s="2"/>
      <c r="BA85" s="14" t="s">
        <v>38</v>
      </c>
      <c r="BB85" s="2"/>
    </row>
    <row r="86" spans="1:54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>
        <f>IF(V$10=$T$6,MAX($V$6-Stock!W86,0),IF(V$10&lt;$T$6,($AB$6*(X84-X88)+X88)/$Z$6,""))</f>
        <v>137.64935836220462</v>
      </c>
      <c r="W86" s="8"/>
      <c r="X86" s="2"/>
      <c r="Y86" s="2"/>
      <c r="Z86" s="2">
        <f>IF(Z$10=$T$6,MAX($V$6-Stock!AA86,0),IF(Z$10&lt;$T$6,($AB$6*(AB84-AB88)+AB88)/$Z$6,""))</f>
        <v>138.12660607555878</v>
      </c>
      <c r="AA86" s="8"/>
      <c r="AB86" s="2"/>
      <c r="AC86" s="2"/>
      <c r="AD86" s="2">
        <f>IF(AD$10=$T$6,MAX($V$6-Stock!AE86,0),IF(AD$10&lt;$T$6,($AB$6*(AF84-AF88)+AF88)/$Z$6,""))</f>
        <v>138.62673344183565</v>
      </c>
      <c r="AE86" s="8"/>
      <c r="AF86" s="2"/>
      <c r="AG86" s="2"/>
      <c r="AH86" s="2">
        <f>IF(AH$10=$T$6,MAX($V$6-Stock!AI86,0),IF(AH$10&lt;$T$6,($AB$6*(AJ84-AJ88)+AJ88)/$Z$6,""))</f>
        <v>139.14397915954726</v>
      </c>
      <c r="AI86" s="8"/>
      <c r="AJ86" s="2"/>
      <c r="AK86" s="2"/>
      <c r="AL86" s="2">
        <f>IF(AL$10=$T$6,MAX($V$6-Stock!AM86,0),IF(AL$10&lt;$T$6,($AB$6*(AN84-AN88)+AN88)/$Z$6,""))</f>
        <v>139.6700900594364</v>
      </c>
      <c r="AM86" s="8"/>
      <c r="AN86" s="2"/>
      <c r="AO86" s="2"/>
      <c r="AP86" s="2">
        <f>IF(AP$10=$T$6,MAX($V$6-Stock!AQ86,0),IF(AP$10&lt;$T$6,($AB$6*(AR84-AR88)+AR88)/$Z$6,""))</f>
        <v>140.19689753411433</v>
      </c>
      <c r="AQ86" s="8"/>
      <c r="AR86" s="2"/>
      <c r="AS86" s="2"/>
      <c r="AT86" s="2">
        <f>IF(AT$10=$T$6,MAX($V$6-Stock!AU86,0),IF(AT$10&lt;$T$6,($AB$6*(AV84-AV88)+AV88)/$Z$6,""))</f>
        <v>140.72440250585132</v>
      </c>
      <c r="AU86" s="8"/>
      <c r="AV86" s="2"/>
      <c r="AW86" s="2"/>
      <c r="AX86" s="2">
        <f>IF(AX$10=$T$6,MAX($V$6-Stock!AY86,0),IF(AX$10&lt;$T$6,($AB$6*(AZ84-AZ88)+AZ88)/$Z$6,""))</f>
        <v>141.25260589813874</v>
      </c>
      <c r="AY86" s="8"/>
      <c r="AZ86" s="2"/>
      <c r="BA86" s="2"/>
      <c r="BB86" s="2">
        <f>IF(BB$10=$T$6,MAX($V$6-Stock!BC86,0),IF(BB$10&lt;$T$6,($AB$6*(BC84-BC88)+BC88)/$Z$6,""))</f>
        <v>141.78150863569061</v>
      </c>
    </row>
    <row r="87" spans="1:54" ht="14.2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14" t="s">
        <v>38</v>
      </c>
      <c r="X87" s="2"/>
      <c r="Y87" s="13" t="s">
        <v>38</v>
      </c>
      <c r="Z87" s="2"/>
      <c r="AA87" s="14" t="s">
        <v>38</v>
      </c>
      <c r="AB87" s="2"/>
      <c r="AC87" s="13" t="s">
        <v>38</v>
      </c>
      <c r="AD87" s="2"/>
      <c r="AE87" s="14" t="s">
        <v>38</v>
      </c>
      <c r="AF87" s="2"/>
      <c r="AG87" s="13" t="s">
        <v>38</v>
      </c>
      <c r="AH87" s="2"/>
      <c r="AI87" s="14" t="s">
        <v>38</v>
      </c>
      <c r="AJ87" s="2"/>
      <c r="AK87" s="13" t="s">
        <v>38</v>
      </c>
      <c r="AL87" s="2"/>
      <c r="AM87" s="14" t="s">
        <v>38</v>
      </c>
      <c r="AN87" s="2"/>
      <c r="AO87" s="13" t="s">
        <v>38</v>
      </c>
      <c r="AP87" s="2"/>
      <c r="AQ87" s="14" t="s">
        <v>38</v>
      </c>
      <c r="AR87" s="2"/>
      <c r="AS87" s="13" t="s">
        <v>38</v>
      </c>
      <c r="AT87" s="2"/>
      <c r="AU87" s="14" t="s">
        <v>38</v>
      </c>
      <c r="AV87" s="2"/>
      <c r="AW87" s="13" t="s">
        <v>38</v>
      </c>
      <c r="AX87" s="2"/>
      <c r="AY87" s="14" t="s">
        <v>38</v>
      </c>
      <c r="AZ87" s="2"/>
      <c r="BA87" s="13" t="s">
        <v>38</v>
      </c>
      <c r="BB87" s="2"/>
    </row>
    <row r="88" spans="1:54" ht="15.75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6"/>
      <c r="W88" s="6"/>
      <c r="X88" s="2">
        <f>IF(X$10=$T$6,MAX($V$6-Stock!Y88,0),IF(X$10&lt;$T$6,($AB$6*(Z86-Z90)+Z90)/$Z$6,""))</f>
        <v>148.90643244987606</v>
      </c>
      <c r="Y88" s="8"/>
      <c r="Z88" s="2"/>
      <c r="AA88" s="2"/>
      <c r="AB88" s="2">
        <f>IF(AB$10=$T$6,MAX($V$6-Stock!AC88,0),IF(AB$10&lt;$T$6,($AB$6*(AD86-AD90)+AD90)/$Z$6,""))</f>
        <v>149.4175883813642</v>
      </c>
      <c r="AC88" s="8"/>
      <c r="AD88" s="2"/>
      <c r="AE88" s="2"/>
      <c r="AF88" s="2">
        <f>IF(AF$10=$T$6,MAX($V$6-Stock!AG88,0),IF(AF$10&lt;$T$6,($AB$6*(AH86-AH90)+AH90)/$Z$6,""))</f>
        <v>149.9386016907915</v>
      </c>
      <c r="AG88" s="8"/>
      <c r="AH88" s="2"/>
      <c r="AI88" s="2"/>
      <c r="AJ88" s="2">
        <f>IF(AJ$10=$T$6,MAX($V$6-Stock!AK88,0),IF(AJ$10&lt;$T$6,($AB$6*(AL86-AL90)+AL90)/$Z$6,""))</f>
        <v>150.46436464875643</v>
      </c>
      <c r="AK88" s="8"/>
      <c r="AL88" s="2"/>
      <c r="AM88" s="2"/>
      <c r="AN88" s="2">
        <f>IF(AN$10=$T$6,MAX($V$6-Stock!AO88,0),IF(AN$10&lt;$T$6,($AB$6*(AP86-AP90)+AP90)/$Z$6,""))</f>
        <v>150.99082372083245</v>
      </c>
      <c r="AO88" s="8"/>
      <c r="AP88" s="2"/>
      <c r="AQ88" s="2"/>
      <c r="AR88" s="2">
        <f>IF(AR$10=$T$6,MAX($V$6-Stock!AS88,0),IF(AR$10&lt;$T$6,($AB$6*(AT86-AT90)+AT90)/$Z$6,""))</f>
        <v>151.51797982867987</v>
      </c>
      <c r="AS88" s="8"/>
      <c r="AT88" s="2"/>
      <c r="AU88" s="2"/>
      <c r="AV88" s="2">
        <f>IF(AV$10=$T$6,MAX($V$6-Stock!AW88,0),IF(AV$10&lt;$T$6,($AB$6*(AX86-AX90)+AX90)/$Z$6,""))</f>
        <v>152.04583389517927</v>
      </c>
      <c r="AW88" s="8"/>
      <c r="AX88" s="2"/>
      <c r="AY88" s="2"/>
      <c r="AZ88" s="2">
        <f>IF(AZ$10=$T$6,MAX($V$6-Stock!BA88,0),IF(AZ$10&lt;$T$6,($AB$6*(BB86-BB90)+BB90)/$Z$6,""))</f>
        <v>152.57438684443318</v>
      </c>
      <c r="BA88" s="8"/>
      <c r="BB88" s="2"/>
    </row>
    <row r="89" spans="1:54" ht="15.75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6"/>
      <c r="W89" s="6"/>
      <c r="X89" s="2"/>
      <c r="Y89" s="14" t="s">
        <v>38</v>
      </c>
      <c r="Z89" s="2"/>
      <c r="AA89" s="13" t="s">
        <v>38</v>
      </c>
      <c r="AB89" s="2"/>
      <c r="AC89" s="14" t="s">
        <v>38</v>
      </c>
      <c r="AD89" s="2"/>
      <c r="AE89" s="13" t="s">
        <v>38</v>
      </c>
      <c r="AF89" s="2"/>
      <c r="AG89" s="14" t="s">
        <v>38</v>
      </c>
      <c r="AH89" s="2"/>
      <c r="AI89" s="13" t="s">
        <v>38</v>
      </c>
      <c r="AJ89" s="2"/>
      <c r="AK89" s="14" t="s">
        <v>38</v>
      </c>
      <c r="AL89" s="2"/>
      <c r="AM89" s="13" t="s">
        <v>38</v>
      </c>
      <c r="AN89" s="2"/>
      <c r="AO89" s="14" t="s">
        <v>38</v>
      </c>
      <c r="AP89" s="2"/>
      <c r="AQ89" s="13" t="s">
        <v>38</v>
      </c>
      <c r="AR89" s="2"/>
      <c r="AS89" s="14" t="s">
        <v>38</v>
      </c>
      <c r="AT89" s="2"/>
      <c r="AU89" s="13" t="s">
        <v>38</v>
      </c>
      <c r="AV89" s="2"/>
      <c r="AW89" s="14" t="s">
        <v>38</v>
      </c>
      <c r="AX89" s="2"/>
      <c r="AY89" s="13" t="s">
        <v>38</v>
      </c>
      <c r="AZ89" s="2"/>
      <c r="BA89" s="14" t="s">
        <v>38</v>
      </c>
      <c r="BB89" s="2"/>
    </row>
    <row r="90" spans="1:54" ht="15.75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7"/>
      <c r="W90" s="7"/>
      <c r="X90" s="2"/>
      <c r="Y90" s="2"/>
      <c r="Z90" s="2">
        <f>IF(Z$10=$T$6,MAX($V$6-Stock!AA90,0),IF(Z$10&lt;$T$6,($AB$6*(AB88-AB92)+AB92)/$Z$6,""))</f>
        <v>159.73718963052463</v>
      </c>
      <c r="AA90" s="8"/>
      <c r="AB90" s="2"/>
      <c r="AC90" s="2"/>
      <c r="AD90" s="2">
        <f>IF(AD$10=$T$6,MAX($V$6-Stock!AE90,0),IF(AD$10&lt;$T$6,($AB$6*(AF88-AF92)+AF92)/$Z$6,""))</f>
        <v>160.25989795756311</v>
      </c>
      <c r="AE90" s="8"/>
      <c r="AF90" s="2"/>
      <c r="AG90" s="2"/>
      <c r="AH90" s="2">
        <f>IF(AH$10=$T$6,MAX($V$6-Stock!AI90,0),IF(AH$10&lt;$T$6,($AB$6*(AJ88-AJ92)+AJ92)/$Z$6,""))</f>
        <v>160.78531320371422</v>
      </c>
      <c r="AI90" s="8"/>
      <c r="AJ90" s="2"/>
      <c r="AK90" s="2"/>
      <c r="AL90" s="2">
        <f>IF(AL$10=$T$6,MAX($V$6-Stock!AM90,0),IF(AL$10&lt;$T$6,($AB$6*(AN88-AN92)+AN92)/$Z$6,""))</f>
        <v>161.31142410360337</v>
      </c>
      <c r="AM90" s="8"/>
      <c r="AN90" s="2"/>
      <c r="AO90" s="2"/>
      <c r="AP90" s="2">
        <f>IF(AP$10=$T$6,MAX($V$6-Stock!AQ90,0),IF(AP$10&lt;$T$6,($AB$6*(AR88-AR92)+AR92)/$Z$6,""))</f>
        <v>161.83823157828132</v>
      </c>
      <c r="AQ90" s="8"/>
      <c r="AR90" s="2"/>
      <c r="AS90" s="2"/>
      <c r="AT90" s="2">
        <f>IF(AT$10=$T$6,MAX($V$6-Stock!AU90,0),IF(AT$10&lt;$T$6,($AB$6*(AV88-AV92)+AV92)/$Z$6,""))</f>
        <v>162.36573655001831</v>
      </c>
      <c r="AU90" s="8"/>
      <c r="AV90" s="2"/>
      <c r="AW90" s="2"/>
      <c r="AX90" s="2">
        <f>IF(AX$10=$T$6,MAX($V$6-Stock!AY90,0),IF(AX$10&lt;$T$6,($AB$6*(AZ88-AZ92)+AZ92)/$Z$6,""))</f>
        <v>162.89393994230574</v>
      </c>
      <c r="AY90" s="8"/>
      <c r="AZ90" s="2"/>
      <c r="BA90" s="2"/>
      <c r="BB90" s="2">
        <f>IF(BB$10=$T$6,MAX($V$6-Stock!BC90,0),IF(BB$10&lt;$T$6,($AB$6*(BC88-BC92)+BC92)/$Z$6,""))</f>
        <v>163.42284267985764</v>
      </c>
    </row>
    <row r="91" spans="1:54" ht="15.75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7"/>
      <c r="W91" s="7"/>
      <c r="X91" s="2"/>
      <c r="Y91" s="2"/>
      <c r="Z91" s="2"/>
      <c r="AA91" s="14" t="s">
        <v>38</v>
      </c>
      <c r="AB91" s="2"/>
      <c r="AC91" s="13" t="s">
        <v>38</v>
      </c>
      <c r="AD91" s="2"/>
      <c r="AE91" s="14" t="s">
        <v>38</v>
      </c>
      <c r="AF91" s="2"/>
      <c r="AG91" s="13" t="s">
        <v>38</v>
      </c>
      <c r="AH91" s="2"/>
      <c r="AI91" s="14" t="s">
        <v>38</v>
      </c>
      <c r="AJ91" s="2"/>
      <c r="AK91" s="13" t="s">
        <v>38</v>
      </c>
      <c r="AL91" s="2"/>
      <c r="AM91" s="14" t="s">
        <v>38</v>
      </c>
      <c r="AN91" s="2"/>
      <c r="AO91" s="13" t="s">
        <v>38</v>
      </c>
      <c r="AP91" s="2"/>
      <c r="AQ91" s="14" t="s">
        <v>38</v>
      </c>
      <c r="AR91" s="2"/>
      <c r="AS91" s="13" t="s">
        <v>38</v>
      </c>
      <c r="AT91" s="2"/>
      <c r="AU91" s="14" t="s">
        <v>38</v>
      </c>
      <c r="AV91" s="2"/>
      <c r="AW91" s="13" t="s">
        <v>38</v>
      </c>
      <c r="AX91" s="2"/>
      <c r="AY91" s="14" t="s">
        <v>38</v>
      </c>
      <c r="AZ91" s="2"/>
      <c r="BA91" s="13" t="s">
        <v>38</v>
      </c>
      <c r="BB91" s="2"/>
    </row>
    <row r="92" spans="1:54" ht="15.75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7"/>
      <c r="W92" s="7"/>
      <c r="X92" s="2"/>
      <c r="Y92" s="2"/>
      <c r="Z92" s="2"/>
      <c r="AA92" s="2"/>
      <c r="AB92" s="2">
        <f>IF(AB$10=$T$6,MAX($V$6-Stock!AC92,0),IF(AB$10&lt;$T$6,($AB$6*(AD90-AD94)+AD94)/$Z$6,""))</f>
        <v>170.12814403677069</v>
      </c>
      <c r="AC92" s="8"/>
      <c r="AD92" s="2"/>
      <c r="AE92" s="2"/>
      <c r="AF92" s="2">
        <f>IF(AF$10=$T$6,MAX($V$6-Stock!AG92,0),IF(AF$10&lt;$T$6,($AB$6*(AH90-AH94)+AH94)/$Z$6,""))</f>
        <v>170.65321180106619</v>
      </c>
      <c r="AG92" s="8"/>
      <c r="AH92" s="2"/>
      <c r="AI92" s="2"/>
      <c r="AJ92" s="2">
        <f>IF(AJ$10=$T$6,MAX($V$6-Stock!AK92,0),IF(AJ$10&lt;$T$6,($AB$6*(AL90-AL94)+AL94)/$Z$6,""))</f>
        <v>171.17897475903112</v>
      </c>
      <c r="AK92" s="8"/>
      <c r="AL92" s="2"/>
      <c r="AM92" s="2"/>
      <c r="AN92" s="2">
        <f>IF(AN$10=$T$6,MAX($V$6-Stock!AO92,0),IF(AN$10&lt;$T$6,($AB$6*(AP90-AP94)+AP94)/$Z$6,""))</f>
        <v>171.70543383110714</v>
      </c>
      <c r="AO92" s="8"/>
      <c r="AP92" s="2"/>
      <c r="AQ92" s="2"/>
      <c r="AR92" s="2">
        <f>IF(AR$10=$T$6,MAX($V$6-Stock!AS92,0),IF(AR$10&lt;$T$6,($AB$6*(AT90-AT94)+AT94)/$Z$6,""))</f>
        <v>172.23258993895456</v>
      </c>
      <c r="AS92" s="8"/>
      <c r="AT92" s="2"/>
      <c r="AU92" s="2"/>
      <c r="AV92" s="2">
        <f>IF(AV$10=$T$6,MAX($V$6-Stock!AW92,0),IF(AV$10&lt;$T$6,($AB$6*(AX90-AX94)+AX94)/$Z$6,""))</f>
        <v>172.76044400545396</v>
      </c>
      <c r="AW92" s="8"/>
      <c r="AX92" s="2"/>
      <c r="AY92" s="2"/>
      <c r="AZ92" s="2">
        <f>IF(AZ$10=$T$6,MAX($V$6-Stock!BA92,0),IF(AZ$10&lt;$T$6,($AB$6*(BB90-BB94)+BB94)/$Z$6,""))</f>
        <v>173.28899695470787</v>
      </c>
      <c r="BA92" s="8"/>
      <c r="BB92" s="2"/>
    </row>
    <row r="93" spans="1:54" ht="15.75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7"/>
      <c r="W93" s="7"/>
      <c r="X93" s="2"/>
      <c r="Y93" s="2"/>
      <c r="Z93" s="2"/>
      <c r="AA93" s="2"/>
      <c r="AB93" s="2"/>
      <c r="AC93" s="14" t="s">
        <v>38</v>
      </c>
      <c r="AD93" s="2"/>
      <c r="AE93" s="13" t="s">
        <v>38</v>
      </c>
      <c r="AF93" s="2"/>
      <c r="AG93" s="14" t="s">
        <v>38</v>
      </c>
      <c r="AH93" s="2"/>
      <c r="AI93" s="13" t="s">
        <v>38</v>
      </c>
      <c r="AJ93" s="2"/>
      <c r="AK93" s="14" t="s">
        <v>38</v>
      </c>
      <c r="AL93" s="2"/>
      <c r="AM93" s="13" t="s">
        <v>38</v>
      </c>
      <c r="AN93" s="2"/>
      <c r="AO93" s="14" t="s">
        <v>38</v>
      </c>
      <c r="AP93" s="2"/>
      <c r="AQ93" s="13" t="s">
        <v>38</v>
      </c>
      <c r="AR93" s="2"/>
      <c r="AS93" s="14" t="s">
        <v>38</v>
      </c>
      <c r="AT93" s="2"/>
      <c r="AU93" s="13" t="s">
        <v>38</v>
      </c>
      <c r="AV93" s="2"/>
      <c r="AW93" s="14" t="s">
        <v>38</v>
      </c>
      <c r="AX93" s="2"/>
      <c r="AY93" s="13" t="s">
        <v>38</v>
      </c>
      <c r="AZ93" s="2"/>
      <c r="BA93" s="14" t="s">
        <v>38</v>
      </c>
      <c r="BB93" s="2"/>
    </row>
    <row r="94" spans="1:54" ht="15.75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7"/>
      <c r="W94" s="7"/>
      <c r="X94" s="2"/>
      <c r="Y94" s="2"/>
      <c r="Z94" s="2"/>
      <c r="AA94" s="2"/>
      <c r="AB94" s="2"/>
      <c r="AC94" s="2"/>
      <c r="AD94" s="2">
        <f>IF(AD$10=$T$6,MAX($V$6-Stock!AE94,0),IF(AD$10&lt;$T$6,($AB$6*(AF92-AF96)+AF96)/$Z$6,""))</f>
        <v>180.0874682517497</v>
      </c>
      <c r="AE94" s="8"/>
      <c r="AF94" s="2"/>
      <c r="AG94" s="2"/>
      <c r="AH94" s="2">
        <f>IF(AH$10=$T$6,MAX($V$6-Stock!AI94,0),IF(AH$10&lt;$T$6,($AB$6*(AJ92-AJ96)+AJ96)/$Z$6,""))</f>
        <v>180.61288349790081</v>
      </c>
      <c r="AI94" s="8"/>
      <c r="AJ94" s="2"/>
      <c r="AK94" s="2"/>
      <c r="AL94" s="2">
        <f>IF(AL$10=$T$6,MAX($V$6-Stock!AM94,0),IF(AL$10&lt;$T$6,($AB$6*(AN92-AN96)+AN96)/$Z$6,""))</f>
        <v>181.13899439778996</v>
      </c>
      <c r="AM94" s="8"/>
      <c r="AN94" s="2"/>
      <c r="AO94" s="2"/>
      <c r="AP94" s="2">
        <f>IF(AP$10=$T$6,MAX($V$6-Stock!AQ94,0),IF(AP$10&lt;$T$6,($AB$6*(AR92-AR96)+AR96)/$Z$6,""))</f>
        <v>181.66580187246791</v>
      </c>
      <c r="AQ94" s="8"/>
      <c r="AR94" s="2"/>
      <c r="AS94" s="2"/>
      <c r="AT94" s="2">
        <f>IF(AT$10=$T$6,MAX($V$6-Stock!AU94,0),IF(AT$10&lt;$T$6,($AB$6*(AV92-AV96)+AV96)/$Z$6,""))</f>
        <v>182.19330684420493</v>
      </c>
      <c r="AU94" s="8"/>
      <c r="AV94" s="2"/>
      <c r="AW94" s="2"/>
      <c r="AX94" s="2">
        <f>IF(AX$10=$T$6,MAX($V$6-Stock!AY94,0),IF(AX$10&lt;$T$6,($AB$6*(AZ92-AZ96)+AZ96)/$Z$6,""))</f>
        <v>182.72151023649232</v>
      </c>
      <c r="AY94" s="8"/>
      <c r="AZ94" s="2"/>
      <c r="BA94" s="2"/>
      <c r="BB94" s="2">
        <f>IF(BB$10=$T$6,MAX($V$6-Stock!BC94,0),IF(BB$10&lt;$T$6,($AB$6*(BC92-BC96)+BC96)/$Z$6,""))</f>
        <v>183.25041297404417</v>
      </c>
    </row>
    <row r="95" spans="1:54" ht="15.75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7"/>
      <c r="W95" s="7"/>
      <c r="X95" s="2"/>
      <c r="Y95" s="2"/>
      <c r="Z95" s="2"/>
      <c r="AA95" s="2"/>
      <c r="AB95" s="2"/>
      <c r="AC95" s="2"/>
      <c r="AD95" s="2"/>
      <c r="AE95" s="14" t="s">
        <v>38</v>
      </c>
      <c r="AF95" s="2"/>
      <c r="AG95" s="13" t="s">
        <v>38</v>
      </c>
      <c r="AH95" s="2"/>
      <c r="AI95" s="14" t="s">
        <v>38</v>
      </c>
      <c r="AJ95" s="2"/>
      <c r="AK95" s="13" t="s">
        <v>38</v>
      </c>
      <c r="AL95" s="2"/>
      <c r="AM95" s="14" t="s">
        <v>38</v>
      </c>
      <c r="AN95" s="2"/>
      <c r="AO95" s="13" t="s">
        <v>38</v>
      </c>
      <c r="AP95" s="2"/>
      <c r="AQ95" s="14" t="s">
        <v>38</v>
      </c>
      <c r="AR95" s="2"/>
      <c r="AS95" s="13" t="s">
        <v>38</v>
      </c>
      <c r="AT95" s="2"/>
      <c r="AU95" s="14" t="s">
        <v>38</v>
      </c>
      <c r="AV95" s="2"/>
      <c r="AW95" s="13" t="s">
        <v>38</v>
      </c>
      <c r="AX95" s="2"/>
      <c r="AY95" s="14" t="s">
        <v>38</v>
      </c>
      <c r="AZ95" s="2"/>
      <c r="BA95" s="13" t="s">
        <v>38</v>
      </c>
      <c r="BB95" s="2"/>
    </row>
    <row r="96" spans="1:54" ht="15.75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7"/>
      <c r="W96" s="7"/>
      <c r="X96" s="2"/>
      <c r="Y96" s="2"/>
      <c r="Z96" s="2"/>
      <c r="AA96" s="2"/>
      <c r="AB96" s="2"/>
      <c r="AC96" s="2"/>
      <c r="AD96" s="2"/>
      <c r="AE96" s="2"/>
      <c r="AF96" s="2">
        <f>IF(AF$10=$T$6,MAX($V$6-Stock!AG96,0),IF(AF$10&lt;$T$6,($AB$6*(AH94-AH98)+AH98)/$Z$6,""))</f>
        <v>189.63172704600976</v>
      </c>
      <c r="AG96" s="8"/>
      <c r="AH96" s="2"/>
      <c r="AI96" s="2"/>
      <c r="AJ96" s="2">
        <f>IF(AJ$10=$T$6,MAX($V$6-Stock!AK96,0),IF(AJ$10&lt;$T$6,($AB$6*(AL94-AL98)+AL98)/$Z$6,""))</f>
        <v>190.15749000397469</v>
      </c>
      <c r="AK96" s="8"/>
      <c r="AL96" s="2"/>
      <c r="AM96" s="2"/>
      <c r="AN96" s="2">
        <f>IF(AN$10=$T$6,MAX($V$6-Stock!AO96,0),IF(AN$10&lt;$T$6,($AB$6*(AP94-AP98)+AP98)/$Z$6,""))</f>
        <v>190.68394907605068</v>
      </c>
      <c r="AO96" s="8"/>
      <c r="AP96" s="2"/>
      <c r="AQ96" s="2"/>
      <c r="AR96" s="2">
        <f>IF(AR$10=$T$6,MAX($V$6-Stock!AS96,0),IF(AR$10&lt;$T$6,($AB$6*(AT94-AT98)+AT98)/$Z$6,""))</f>
        <v>191.21110518389813</v>
      </c>
      <c r="AS96" s="8"/>
      <c r="AT96" s="2"/>
      <c r="AU96" s="2"/>
      <c r="AV96" s="2">
        <f>IF(AV$10=$T$6,MAX($V$6-Stock!AW96,0),IF(AV$10&lt;$T$6,($AB$6*(AX94-AX98)+AX98)/$Z$6,""))</f>
        <v>191.7389592503975</v>
      </c>
      <c r="AW96" s="8"/>
      <c r="AX96" s="2"/>
      <c r="AY96" s="2"/>
      <c r="AZ96" s="2">
        <f>IF(AZ$10=$T$6,MAX($V$6-Stock!BA96,0),IF(AZ$10&lt;$T$6,($AB$6*(BB94-BB98)+BB98)/$Z$6,""))</f>
        <v>192.26751219965141</v>
      </c>
      <c r="BA96" s="8"/>
      <c r="BB96" s="2"/>
    </row>
    <row r="97" spans="1:54" ht="15.75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7"/>
      <c r="W97" s="7"/>
      <c r="X97" s="2"/>
      <c r="Y97" s="2"/>
      <c r="Z97" s="2"/>
      <c r="AA97" s="2"/>
      <c r="AB97" s="2"/>
      <c r="AC97" s="2"/>
      <c r="AD97" s="2"/>
      <c r="AE97" s="2"/>
      <c r="AF97" s="2"/>
      <c r="AG97" s="14" t="s">
        <v>38</v>
      </c>
      <c r="AH97" s="2"/>
      <c r="AI97" s="13" t="s">
        <v>38</v>
      </c>
      <c r="AJ97" s="2"/>
      <c r="AK97" s="14" t="s">
        <v>38</v>
      </c>
      <c r="AL97" s="2"/>
      <c r="AM97" s="13" t="s">
        <v>38</v>
      </c>
      <c r="AN97" s="2"/>
      <c r="AO97" s="14" t="s">
        <v>38</v>
      </c>
      <c r="AP97" s="2"/>
      <c r="AQ97" s="13" t="s">
        <v>38</v>
      </c>
      <c r="AR97" s="2"/>
      <c r="AS97" s="14" t="s">
        <v>38</v>
      </c>
      <c r="AT97" s="2"/>
      <c r="AU97" s="13" t="s">
        <v>38</v>
      </c>
      <c r="AV97" s="2"/>
      <c r="AW97" s="14" t="s">
        <v>38</v>
      </c>
      <c r="AX97" s="2"/>
      <c r="AY97" s="13" t="s">
        <v>38</v>
      </c>
      <c r="AZ97" s="2"/>
      <c r="BA97" s="14" t="s">
        <v>38</v>
      </c>
      <c r="BB97" s="2"/>
    </row>
    <row r="98" spans="1:54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>
        <f>IF(AH$10=$T$6,MAX($V$6-Stock!AI98,0),IF(AH$10&lt;$T$6,($AB$6*(AJ96-AJ100)+AJ100)/$Z$6,""))</f>
        <v>198.77870187899416</v>
      </c>
      <c r="AI98" s="8"/>
      <c r="AJ98" s="2"/>
      <c r="AK98" s="2"/>
      <c r="AL98" s="2">
        <f>IF(AL$10=$T$6,MAX($V$6-Stock!AM98,0),IF(AL$10&lt;$T$6,($AB$6*(AN96-AN100)+AN100)/$Z$6,""))</f>
        <v>199.3048127788833</v>
      </c>
      <c r="AM98" s="8"/>
      <c r="AN98" s="2"/>
      <c r="AO98" s="2"/>
      <c r="AP98" s="2">
        <f>IF(AP$10=$T$6,MAX($V$6-Stock!AQ98,0),IF(AP$10&lt;$T$6,($AB$6*(AR96-AR100)+AR100)/$Z$6,""))</f>
        <v>199.83162025356123</v>
      </c>
      <c r="AQ98" s="8"/>
      <c r="AR98" s="2"/>
      <c r="AS98" s="2"/>
      <c r="AT98" s="2">
        <f>IF(AT$10=$T$6,MAX($V$6-Stock!AU98,0),IF(AT$10&lt;$T$6,($AB$6*(AV96-AV100)+AV100)/$Z$6,""))</f>
        <v>200.35912522529821</v>
      </c>
      <c r="AU98" s="8"/>
      <c r="AV98" s="2"/>
      <c r="AW98" s="2"/>
      <c r="AX98" s="2">
        <f>IF(AX$10=$T$6,MAX($V$6-Stock!AY98,0),IF(AX$10&lt;$T$6,($AB$6*(AZ96-AZ100)+AZ100)/$Z$6,""))</f>
        <v>200.88732861758564</v>
      </c>
      <c r="AY98" s="8"/>
      <c r="AZ98" s="2"/>
      <c r="BA98" s="2"/>
      <c r="BB98" s="2">
        <f>IF(BB$10=$T$6,MAX($V$6-Stock!BC98,0),IF(BB$10&lt;$T$6,($AB$6*(BC96-BC100)+BC100)/$Z$6,""))</f>
        <v>201.41623135513754</v>
      </c>
    </row>
    <row r="99" spans="1:54" ht="14.25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14" t="s">
        <v>38</v>
      </c>
      <c r="AJ99" s="2"/>
      <c r="AK99" s="13" t="s">
        <v>38</v>
      </c>
      <c r="AL99" s="2"/>
      <c r="AM99" s="14" t="s">
        <v>38</v>
      </c>
      <c r="AN99" s="2"/>
      <c r="AO99" s="13" t="s">
        <v>38</v>
      </c>
      <c r="AP99" s="2"/>
      <c r="AQ99" s="14" t="s">
        <v>38</v>
      </c>
      <c r="AR99" s="2"/>
      <c r="AS99" s="13" t="s">
        <v>38</v>
      </c>
      <c r="AT99" s="2"/>
      <c r="AU99" s="14" t="s">
        <v>38</v>
      </c>
      <c r="AV99" s="2"/>
      <c r="AW99" s="13" t="s">
        <v>38</v>
      </c>
      <c r="AX99" s="2"/>
      <c r="AY99" s="14" t="s">
        <v>38</v>
      </c>
      <c r="AZ99" s="2"/>
      <c r="BA99" s="13" t="s">
        <v>38</v>
      </c>
      <c r="BB99" s="2"/>
    </row>
    <row r="100" spans="1:54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>
        <f>IF(AJ$10=$T$6,MAX($V$6-Stock!AK100,0),IF(AJ$10&lt;$T$6,($AB$6*(AL98-AL102)+AL102)/$Z$6,""))</f>
        <v>207.54541277853363</v>
      </c>
      <c r="AK100" s="8"/>
      <c r="AL100" s="2"/>
      <c r="AM100" s="2"/>
      <c r="AN100" s="2">
        <f>IF(AN$10=$T$6,MAX($V$6-Stock!AO100,0),IF(AN$10&lt;$T$6,($AB$6*(AP98-AP102)+AP102)/$Z$6,""))</f>
        <v>208.07187185060965</v>
      </c>
      <c r="AO100" s="8"/>
      <c r="AP100" s="2"/>
      <c r="AQ100" s="2"/>
      <c r="AR100" s="2">
        <f>IF(AR$10=$T$6,MAX($V$6-Stock!AS100,0),IF(AR$10&lt;$T$6,($AB$6*(AT98-AT102)+AT102)/$Z$6,""))</f>
        <v>208.59902795845704</v>
      </c>
      <c r="AS100" s="8"/>
      <c r="AT100" s="2"/>
      <c r="AU100" s="2"/>
      <c r="AV100" s="2">
        <f>IF(AV$10=$T$6,MAX($V$6-Stock!AW100,0),IF(AV$10&lt;$T$6,($AB$6*(AX98-AX102)+AX102)/$Z$6,""))</f>
        <v>209.12688202495644</v>
      </c>
      <c r="AW100" s="8"/>
      <c r="AX100" s="2"/>
      <c r="AY100" s="2"/>
      <c r="AZ100" s="2">
        <f>IF(AZ$10=$T$6,MAX($V$6-Stock!BA100,0),IF(AZ$10&lt;$T$6,($AB$6*(BB98-BB102)+BB102)/$Z$6,""))</f>
        <v>209.65543497421038</v>
      </c>
      <c r="BA100" s="8"/>
      <c r="BB100" s="2"/>
    </row>
    <row r="101" spans="1:54" ht="14.25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14" t="s">
        <v>38</v>
      </c>
      <c r="AL101" s="2"/>
      <c r="AM101" s="13" t="s">
        <v>38</v>
      </c>
      <c r="AN101" s="2"/>
      <c r="AO101" s="14" t="s">
        <v>38</v>
      </c>
      <c r="AP101" s="2"/>
      <c r="AQ101" s="13" t="s">
        <v>38</v>
      </c>
      <c r="AR101" s="2"/>
      <c r="AS101" s="14" t="s">
        <v>38</v>
      </c>
      <c r="AT101" s="2"/>
      <c r="AU101" s="13" t="s">
        <v>38</v>
      </c>
      <c r="AV101" s="2"/>
      <c r="AW101" s="14" t="s">
        <v>38</v>
      </c>
      <c r="AX101" s="2"/>
      <c r="AY101" s="13" t="s">
        <v>38</v>
      </c>
      <c r="AZ101" s="2"/>
      <c r="BA101" s="14" t="s">
        <v>38</v>
      </c>
      <c r="BB101" s="2"/>
    </row>
    <row r="102" spans="1:54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>
        <f>IF(AL$10=$T$6,MAX($V$6-Stock!AM102,0),IF(AL$10&lt;$T$6,($AB$6*(AN100-AN104)+AN104)/$Z$6,""))</f>
        <v>215.94815094682932</v>
      </c>
      <c r="AM102" s="8"/>
      <c r="AN102" s="2"/>
      <c r="AO102" s="2"/>
      <c r="AP102" s="2">
        <f>IF(AP$10=$T$6,MAX($V$6-Stock!AQ102,0),IF(AP$10&lt;$T$6,($AB$6*(AR100-AR104)+AR104)/$Z$6,""))</f>
        <v>216.47495842150724</v>
      </c>
      <c r="AQ102" s="8"/>
      <c r="AR102" s="2"/>
      <c r="AS102" s="2"/>
      <c r="AT102" s="2">
        <f>IF(AT$10=$T$6,MAX($V$6-Stock!AU102,0),IF(AT$10&lt;$T$6,($AB$6*(AV100-AV104)+AV104)/$Z$6,""))</f>
        <v>217.00246339324426</v>
      </c>
      <c r="AU102" s="8"/>
      <c r="AV102" s="2"/>
      <c r="AW102" s="2"/>
      <c r="AX102" s="2">
        <f>IF(AX$10=$T$6,MAX($V$6-Stock!AY102,0),IF(AX$10&lt;$T$6,($AB$6*(AZ100-AZ104)+AZ104)/$Z$6,""))</f>
        <v>217.53066678553168</v>
      </c>
      <c r="AY102" s="8"/>
      <c r="AZ102" s="2"/>
      <c r="BA102" s="2"/>
      <c r="BB102" s="2">
        <f>IF(BB$10=$T$6,MAX($V$6-Stock!BC102,0),IF(BB$10&lt;$T$6,($AB$6*(BC100-BC104)+BC104)/$Z$6,""))</f>
        <v>218.05956952308355</v>
      </c>
    </row>
    <row r="103" spans="1:54" ht="14.25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14" t="s">
        <v>38</v>
      </c>
      <c r="AN103" s="2"/>
      <c r="AO103" s="13" t="s">
        <v>38</v>
      </c>
      <c r="AP103" s="2"/>
      <c r="AQ103" s="14" t="s">
        <v>38</v>
      </c>
      <c r="AR103" s="2"/>
      <c r="AS103" s="13" t="s">
        <v>38</v>
      </c>
      <c r="AT103" s="2"/>
      <c r="AU103" s="14" t="s">
        <v>38</v>
      </c>
      <c r="AV103" s="2"/>
      <c r="AW103" s="13" t="s">
        <v>38</v>
      </c>
      <c r="AX103" s="2"/>
      <c r="AY103" s="14" t="s">
        <v>38</v>
      </c>
      <c r="AZ103" s="2"/>
      <c r="BA103" s="13" t="s">
        <v>38</v>
      </c>
      <c r="BB103" s="2"/>
    </row>
    <row r="104" spans="1:54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>
        <f>IF(AN$10=$T$6,MAX($V$6-Stock!AO104,0),IF(AN$10&lt;$T$6,($AB$6*(AP102-AP106)+AP106)/$Z$6,""))</f>
        <v>224.00250997018426</v>
      </c>
      <c r="AO104" s="8"/>
      <c r="AP104" s="2"/>
      <c r="AQ104" s="2"/>
      <c r="AR104" s="2">
        <f>IF(AR$10=$T$6,MAX($V$6-Stock!AS104,0),IF(AR$10&lt;$T$6,($AB$6*(AT102-AT106)+AT106)/$Z$6,""))</f>
        <v>224.52966607803168</v>
      </c>
      <c r="AS104" s="8"/>
      <c r="AT104" s="2"/>
      <c r="AU104" s="2"/>
      <c r="AV104" s="2">
        <f>IF(AV$10=$T$6,MAX($V$6-Stock!AW104,0),IF(AV$10&lt;$T$6,($AB$6*(AX102-AX106)+AX106)/$Z$6,""))</f>
        <v>225.05752014453111</v>
      </c>
      <c r="AW104" s="8"/>
      <c r="AX104" s="2"/>
      <c r="AY104" s="2"/>
      <c r="AZ104" s="2">
        <f>IF(AZ$10=$T$6,MAX($V$6-Stock!BA104,0),IF(AZ$10&lt;$T$6,($AB$6*(BB102-BB106)+BB106)/$Z$6,""))</f>
        <v>225.58607309378499</v>
      </c>
      <c r="BA104" s="8"/>
      <c r="BB104" s="2"/>
    </row>
    <row r="105" spans="1:54" ht="14.25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14" t="s">
        <v>38</v>
      </c>
      <c r="AP105" s="2"/>
      <c r="AQ105" s="13" t="s">
        <v>38</v>
      </c>
      <c r="AR105" s="2"/>
      <c r="AS105" s="14" t="s">
        <v>38</v>
      </c>
      <c r="AT105" s="2"/>
      <c r="AU105" s="13" t="s">
        <v>38</v>
      </c>
      <c r="AV105" s="2"/>
      <c r="AW105" s="14" t="s">
        <v>38</v>
      </c>
      <c r="AX105" s="2"/>
      <c r="AY105" s="13" t="s">
        <v>38</v>
      </c>
      <c r="AZ105" s="2"/>
      <c r="BA105" s="14" t="s">
        <v>38</v>
      </c>
      <c r="BB105" s="2"/>
    </row>
    <row r="106" spans="1:54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>
        <f>IF(AP$10=$T$6,MAX($V$6-Stock!AQ106,0),IF(AP$10&lt;$T$6,($AB$6*(AR104-AR108)+AR108)/$Z$6,""))</f>
        <v>231.72341569227385</v>
      </c>
      <c r="AQ106" s="8"/>
      <c r="AR106" s="2"/>
      <c r="AS106" s="2"/>
      <c r="AT106" s="2">
        <f>IF(AT$10=$T$6,MAX($V$6-Stock!AU106,0),IF(AT$10&lt;$T$6,($AB$6*(AV104-AV108)+AV108)/$Z$6,""))</f>
        <v>232.25092066401086</v>
      </c>
      <c r="AU106" s="8"/>
      <c r="AV106" s="2"/>
      <c r="AW106" s="2"/>
      <c r="AX106" s="2">
        <f>IF(AX$10=$T$6,MAX($V$6-Stock!AY106,0),IF(AX$10&lt;$T$6,($AB$6*(AZ104-AZ108)+AZ108)/$Z$6,""))</f>
        <v>232.77912405629829</v>
      </c>
      <c r="AY106" s="8"/>
      <c r="AZ106" s="2"/>
      <c r="BA106" s="2"/>
      <c r="BB106" s="2">
        <f>IF(BB$10=$T$6,MAX($V$6-Stock!BC106,0),IF(BB$10&lt;$T$6,($AB$6*(BC104-BC108)+BC108)/$Z$6,""))</f>
        <v>233.30802679385016</v>
      </c>
    </row>
    <row r="107" spans="1:54" ht="14.25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14" t="s">
        <v>38</v>
      </c>
      <c r="AR107" s="2"/>
      <c r="AS107" s="13" t="s">
        <v>38</v>
      </c>
      <c r="AT107" s="2"/>
      <c r="AU107" s="14" t="s">
        <v>38</v>
      </c>
      <c r="AV107" s="2"/>
      <c r="AW107" s="13" t="s">
        <v>38</v>
      </c>
      <c r="AX107" s="2"/>
      <c r="AY107" s="14" t="s">
        <v>38</v>
      </c>
      <c r="AZ107" s="2"/>
      <c r="BA107" s="13" t="s">
        <v>38</v>
      </c>
      <c r="BB107" s="2"/>
    </row>
    <row r="108" spans="1:54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>
        <f>IF(AR$10=$T$6,MAX($V$6-Stock!AS108,0),IF(AR$10&lt;$T$6,($AB$6*(AT106-AT110)+AT110)/$Z$6,""))</f>
        <v>239.12515480818453</v>
      </c>
      <c r="AS108" s="8"/>
      <c r="AT108" s="2"/>
      <c r="AU108" s="2"/>
      <c r="AV108" s="2">
        <f>IF(AV$10=$T$6,MAX($V$6-Stock!AW108,0),IF(AV$10&lt;$T$6,($AB$6*(AX106-AX110)+AX110)/$Z$6,""))</f>
        <v>239.65300887468396</v>
      </c>
      <c r="AW108" s="8"/>
      <c r="AX108" s="2"/>
      <c r="AY108" s="2"/>
      <c r="AZ108" s="2">
        <f>IF(AZ$10=$T$6,MAX($V$6-Stock!BA108,0),IF(AZ$10&lt;$T$6,($AB$6*(BB106-BB110)+BB110)/$Z$6,""))</f>
        <v>240.18156182393787</v>
      </c>
      <c r="BA108" s="8"/>
      <c r="BB108" s="2"/>
    </row>
    <row r="109" spans="1:54" ht="14.25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14" t="s">
        <v>38</v>
      </c>
      <c r="AT109" s="2"/>
      <c r="AU109" s="13" t="s">
        <v>38</v>
      </c>
      <c r="AV109" s="2"/>
      <c r="AW109" s="14" t="s">
        <v>38</v>
      </c>
      <c r="AX109" s="2"/>
      <c r="AY109" s="13" t="s">
        <v>38</v>
      </c>
      <c r="AZ109" s="2"/>
      <c r="BA109" s="14" t="s">
        <v>38</v>
      </c>
      <c r="BB109" s="2"/>
    </row>
    <row r="110" spans="1:54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>
        <f>IF(AT$10=$T$6,MAX($V$6-Stock!AU110,0),IF(AT$10&lt;$T$6,($AB$6*(AV108-AV112)+AV112)/$Z$6,""))</f>
        <v>246.22140223400052</v>
      </c>
      <c r="AU110" s="8"/>
      <c r="AV110" s="2"/>
      <c r="AW110" s="2"/>
      <c r="AX110" s="2">
        <f>IF(AX$10=$T$6,MAX($V$6-Stock!AY110,0),IF(AX$10&lt;$T$6,($AB$6*(AZ108-AZ112)+AZ112)/$Z$6,""))</f>
        <v>246.74960562628794</v>
      </c>
      <c r="AY110" s="8"/>
      <c r="AZ110" s="2"/>
      <c r="BA110" s="2"/>
      <c r="BB110" s="2">
        <f>IF(BB$10=$T$6,MAX($V$6-Stock!BC110,0),IF(BB$10&lt;$T$6,($AB$6*(BC108-BC112)+BC112)/$Z$6,""))</f>
        <v>247.27850836383985</v>
      </c>
    </row>
    <row r="111" spans="1:54" ht="14.25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14" t="s">
        <v>38</v>
      </c>
      <c r="AV111" s="2"/>
      <c r="AW111" s="13" t="s">
        <v>38</v>
      </c>
      <c r="AX111" s="2"/>
      <c r="AY111" s="14" t="s">
        <v>38</v>
      </c>
      <c r="AZ111" s="2"/>
      <c r="BA111" s="13" t="s">
        <v>38</v>
      </c>
      <c r="BB111" s="2"/>
    </row>
    <row r="112" spans="1:54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>
        <f>IF(AV$10=$T$6,MAX($V$6-Stock!AW112,0),IF(AV$10&lt;$T$6,($AB$6*(AX110-AX114)+AX114)/$Z$6,""))</f>
        <v>253.02524730437145</v>
      </c>
      <c r="AW112" s="8"/>
      <c r="AX112" s="2"/>
      <c r="AY112" s="2"/>
      <c r="AZ112" s="2">
        <f>IF(AZ$10=$T$6,MAX($V$6-Stock!BA112,0),IF(AZ$10&lt;$T$6,($AB$6*(BB110-BB114)+BB114)/$Z$6,""))</f>
        <v>253.55380025362538</v>
      </c>
      <c r="BA112" s="8"/>
      <c r="BB112" s="2"/>
    </row>
    <row r="113" spans="1:54" ht="14.25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14" t="s">
        <v>38</v>
      </c>
      <c r="AX113" s="2"/>
      <c r="AY113" s="13" t="s">
        <v>38</v>
      </c>
      <c r="AZ113" s="2"/>
      <c r="BA113" s="14" t="s">
        <v>38</v>
      </c>
      <c r="BB113" s="2"/>
    </row>
    <row r="114" spans="1:54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>
        <f>IF(AX$10=$T$6,MAX($V$6-Stock!AY114,0),IF(AX$10&lt;$T$6,($AB$6*(AZ112-AZ116)+AZ116)/$Z$6,""))</f>
        <v>259.54921884824955</v>
      </c>
      <c r="AY114" s="8"/>
      <c r="AZ114" s="2"/>
      <c r="BA114" s="2"/>
      <c r="BB114" s="2">
        <f>IF(BB$10=$T$6,MAX($V$6-Stock!BC114,0),IF(BB$10&lt;$T$6,($AB$6*(BC112-BC116)+BC116)/$Z$6,""))</f>
        <v>260.07812158580145</v>
      </c>
    </row>
    <row r="115" spans="1:54" ht="14.25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14" t="s">
        <v>38</v>
      </c>
      <c r="AZ115" s="2"/>
      <c r="BA115" s="13" t="s">
        <v>38</v>
      </c>
      <c r="BB115" s="2"/>
    </row>
    <row r="116" spans="1:54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>
        <f>IF(AZ$10=$T$6,MAX($V$6-Stock!BA116,0),IF(AZ$10&lt;$T$6,($AB$6*(BB114-BB118)+BB118)/$Z$6,""))</f>
        <v>265.80530919083503</v>
      </c>
      <c r="BA116" s="8"/>
      <c r="BB116" s="2"/>
    </row>
    <row r="117" spans="1:54" ht="14.25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14" t="s">
        <v>38</v>
      </c>
      <c r="BB117" s="2"/>
    </row>
    <row r="118" spans="1:54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>
        <f>IF(BB$10=$T$6,MAX($V$6-Stock!BC118,0),IF(BB$10&lt;$T$6,($AB$6*(BC116-BC119)+BC119)/$Z$6,""))</f>
        <v>271.80499712771137</v>
      </c>
    </row>
    <row r="119" spans="1:54" x14ac:dyDescent="0.2">
      <c r="A119" s="71"/>
      <c r="B119" s="71"/>
      <c r="C119" s="71"/>
      <c r="D119" s="71"/>
      <c r="E119" s="71"/>
      <c r="F119" s="71"/>
      <c r="G119" s="71"/>
      <c r="H119" s="71"/>
      <c r="I119" s="71"/>
      <c r="J119" s="71"/>
      <c r="K119" s="71"/>
      <c r="L119" s="71"/>
      <c r="M119" s="71"/>
      <c r="N119" s="71"/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71"/>
      <c r="Z119" s="71"/>
      <c r="AA119" s="71"/>
      <c r="AB119" s="71"/>
      <c r="AC119" s="71"/>
      <c r="AD119" s="71"/>
      <c r="AE119" s="71"/>
      <c r="AF119" s="71"/>
      <c r="AG119" s="71"/>
      <c r="AH119" s="71"/>
      <c r="AI119" s="71"/>
      <c r="AJ119" s="71"/>
      <c r="AK119" s="71"/>
      <c r="AL119" s="71"/>
      <c r="AM119" s="71"/>
      <c r="AN119" s="71"/>
      <c r="AO119" s="71"/>
      <c r="AP119" s="71"/>
      <c r="AQ119" s="71"/>
      <c r="AR119" s="71"/>
      <c r="AS119" s="71"/>
      <c r="AT119" s="71"/>
      <c r="AU119" s="71"/>
      <c r="AV119" s="71"/>
      <c r="AW119" s="71"/>
      <c r="AX119" s="71"/>
      <c r="AY119" s="71"/>
      <c r="AZ119" s="71"/>
      <c r="BA119" s="71"/>
      <c r="BB119" s="71"/>
    </row>
    <row r="120" spans="1:54" x14ac:dyDescent="0.2">
      <c r="A120" s="71"/>
      <c r="B120" s="71"/>
      <c r="C120" s="71"/>
      <c r="D120" s="71"/>
      <c r="E120" s="71"/>
      <c r="F120" s="71"/>
      <c r="G120" s="71"/>
      <c r="H120" s="71"/>
      <c r="I120" s="71"/>
      <c r="J120" s="71"/>
      <c r="K120" s="71"/>
      <c r="L120" s="71"/>
      <c r="M120" s="71"/>
      <c r="N120" s="71"/>
      <c r="O120" s="71"/>
      <c r="P120" s="71"/>
      <c r="Q120" s="71"/>
      <c r="R120" s="71"/>
      <c r="S120" s="71"/>
      <c r="T120" s="71"/>
      <c r="U120" s="71"/>
      <c r="V120" s="71"/>
      <c r="W120" s="71"/>
      <c r="X120" s="71"/>
      <c r="Y120" s="71"/>
      <c r="Z120" s="71"/>
      <c r="AA120" s="71"/>
      <c r="AB120" s="71"/>
      <c r="AC120" s="71"/>
      <c r="AD120" s="71"/>
      <c r="AE120" s="71"/>
      <c r="AF120" s="71"/>
      <c r="AG120" s="71"/>
      <c r="AH120" s="71"/>
      <c r="AI120" s="71"/>
      <c r="AJ120" s="71"/>
      <c r="AK120" s="71"/>
      <c r="AL120" s="71"/>
      <c r="AM120" s="71"/>
      <c r="AN120" s="71"/>
      <c r="AO120" s="71"/>
      <c r="AP120" s="71"/>
      <c r="AQ120" s="71"/>
      <c r="AR120" s="71"/>
      <c r="AS120" s="71"/>
      <c r="AT120" s="71"/>
      <c r="AU120" s="71"/>
      <c r="AV120" s="71"/>
      <c r="AW120" s="71"/>
      <c r="AX120" s="71"/>
      <c r="AY120" s="71"/>
      <c r="AZ120" s="71"/>
      <c r="BA120" s="71"/>
      <c r="BB120" s="71"/>
    </row>
  </sheetData>
  <sheetProtection password="DC54" sheet="1" objects="1" scenarios="1"/>
  <phoneticPr fontId="2" type="noConversion"/>
  <pageMargins left="0.75" right="0.75" top="1" bottom="1" header="0.5" footer="0.5"/>
  <pageSetup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1"/>
  <sheetViews>
    <sheetView workbookViewId="0">
      <selection activeCell="E26" sqref="E26"/>
    </sheetView>
  </sheetViews>
  <sheetFormatPr defaultRowHeight="12.75" x14ac:dyDescent="0.2"/>
  <cols>
    <col min="2" max="2" width="7.5703125" customWidth="1"/>
    <col min="3" max="3" width="15.5703125" customWidth="1"/>
  </cols>
  <sheetData>
    <row r="1" spans="1:5" x14ac:dyDescent="0.2">
      <c r="A1" t="s">
        <v>82</v>
      </c>
    </row>
    <row r="2" spans="1:5" x14ac:dyDescent="0.2">
      <c r="A2" t="s">
        <v>80</v>
      </c>
      <c r="B2" t="s">
        <v>81</v>
      </c>
      <c r="C2" t="s">
        <v>83</v>
      </c>
      <c r="D2" t="s">
        <v>84</v>
      </c>
    </row>
    <row r="3" spans="1:5" x14ac:dyDescent="0.2">
      <c r="A3">
        <v>1</v>
      </c>
      <c r="B3" t="s">
        <v>86</v>
      </c>
      <c r="C3">
        <f>Call!H86</f>
        <v>156</v>
      </c>
      <c r="D3" t="str">
        <f>VLOOKUP(C3,A3:B381,2,FALSE)</f>
        <v>n77</v>
      </c>
      <c r="E3" s="11"/>
    </row>
    <row r="4" spans="1:5" x14ac:dyDescent="0.2">
      <c r="A4">
        <v>31</v>
      </c>
      <c r="B4" t="s">
        <v>87</v>
      </c>
      <c r="C4">
        <f>C3+30</f>
        <v>186</v>
      </c>
      <c r="D4" t="str">
        <f>VLOOKUP(C4,A4:B381,2,FALSE)</f>
        <v>p75</v>
      </c>
      <c r="E4" s="11"/>
    </row>
    <row r="5" spans="1:5" x14ac:dyDescent="0.2">
      <c r="A5">
        <f>A4+1</f>
        <v>32</v>
      </c>
      <c r="B5" t="s">
        <v>88</v>
      </c>
      <c r="C5">
        <f>C3+31</f>
        <v>187</v>
      </c>
      <c r="D5" t="str">
        <f>VLOOKUP(C5,A4:B381,2,FALSE)</f>
        <v>p79</v>
      </c>
      <c r="E5" s="11"/>
    </row>
    <row r="6" spans="1:5" x14ac:dyDescent="0.2">
      <c r="A6">
        <v>61</v>
      </c>
      <c r="B6" t="s">
        <v>89</v>
      </c>
      <c r="D6" s="11"/>
      <c r="E6" s="11"/>
    </row>
    <row r="7" spans="1:5" x14ac:dyDescent="0.2">
      <c r="A7">
        <f t="shared" ref="A7:A69" si="0">A6+1</f>
        <v>62</v>
      </c>
      <c r="B7" t="s">
        <v>90</v>
      </c>
    </row>
    <row r="8" spans="1:5" x14ac:dyDescent="0.2">
      <c r="A8">
        <f t="shared" si="0"/>
        <v>63</v>
      </c>
      <c r="B8" t="s">
        <v>91</v>
      </c>
    </row>
    <row r="9" spans="1:5" x14ac:dyDescent="0.2">
      <c r="A9">
        <v>91</v>
      </c>
      <c r="B9" t="s">
        <v>92</v>
      </c>
      <c r="E9" s="11"/>
    </row>
    <row r="10" spans="1:5" x14ac:dyDescent="0.2">
      <c r="A10">
        <f t="shared" si="0"/>
        <v>92</v>
      </c>
      <c r="B10" t="s">
        <v>93</v>
      </c>
    </row>
    <row r="11" spans="1:5" x14ac:dyDescent="0.2">
      <c r="A11">
        <f t="shared" si="0"/>
        <v>93</v>
      </c>
      <c r="B11" t="s">
        <v>94</v>
      </c>
    </row>
    <row r="12" spans="1:5" x14ac:dyDescent="0.2">
      <c r="A12">
        <f t="shared" si="0"/>
        <v>94</v>
      </c>
      <c r="B12" t="s">
        <v>95</v>
      </c>
    </row>
    <row r="13" spans="1:5" x14ac:dyDescent="0.2">
      <c r="A13">
        <v>121</v>
      </c>
      <c r="B13" t="s">
        <v>96</v>
      </c>
      <c r="E13" s="11"/>
    </row>
    <row r="14" spans="1:5" x14ac:dyDescent="0.2">
      <c r="A14">
        <f t="shared" si="0"/>
        <v>122</v>
      </c>
      <c r="B14" t="s">
        <v>407</v>
      </c>
      <c r="E14" s="11"/>
    </row>
    <row r="15" spans="1:5" x14ac:dyDescent="0.2">
      <c r="A15">
        <f t="shared" si="0"/>
        <v>123</v>
      </c>
      <c r="B15" t="s">
        <v>408</v>
      </c>
      <c r="E15" s="11"/>
    </row>
    <row r="16" spans="1:5" x14ac:dyDescent="0.2">
      <c r="A16">
        <f t="shared" si="0"/>
        <v>124</v>
      </c>
      <c r="B16" t="s">
        <v>409</v>
      </c>
      <c r="E16" s="11"/>
    </row>
    <row r="17" spans="1:5" x14ac:dyDescent="0.2">
      <c r="A17">
        <f t="shared" si="0"/>
        <v>125</v>
      </c>
      <c r="B17" t="s">
        <v>410</v>
      </c>
      <c r="E17" s="11"/>
    </row>
    <row r="18" spans="1:5" x14ac:dyDescent="0.2">
      <c r="A18">
        <v>151</v>
      </c>
      <c r="B18" t="s">
        <v>97</v>
      </c>
      <c r="E18" s="11"/>
    </row>
    <row r="19" spans="1:5" x14ac:dyDescent="0.2">
      <c r="A19">
        <f t="shared" si="0"/>
        <v>152</v>
      </c>
      <c r="B19" t="s">
        <v>411</v>
      </c>
      <c r="E19" s="11"/>
    </row>
    <row r="20" spans="1:5" x14ac:dyDescent="0.2">
      <c r="A20">
        <f t="shared" si="0"/>
        <v>153</v>
      </c>
      <c r="B20" t="s">
        <v>412</v>
      </c>
      <c r="E20" s="11"/>
    </row>
    <row r="21" spans="1:5" x14ac:dyDescent="0.2">
      <c r="A21">
        <f t="shared" si="0"/>
        <v>154</v>
      </c>
      <c r="B21" t="s">
        <v>413</v>
      </c>
      <c r="E21" s="11"/>
    </row>
    <row r="22" spans="1:5" x14ac:dyDescent="0.2">
      <c r="A22">
        <f t="shared" si="0"/>
        <v>155</v>
      </c>
      <c r="B22" t="s">
        <v>414</v>
      </c>
      <c r="E22" s="11"/>
    </row>
    <row r="23" spans="1:5" x14ac:dyDescent="0.2">
      <c r="A23">
        <f t="shared" si="0"/>
        <v>156</v>
      </c>
      <c r="B23" t="s">
        <v>415</v>
      </c>
      <c r="E23" s="11"/>
    </row>
    <row r="24" spans="1:5" x14ac:dyDescent="0.2">
      <c r="A24">
        <v>181</v>
      </c>
      <c r="B24" t="s">
        <v>98</v>
      </c>
      <c r="E24" s="11"/>
    </row>
    <row r="25" spans="1:5" x14ac:dyDescent="0.2">
      <c r="A25">
        <f t="shared" si="0"/>
        <v>182</v>
      </c>
      <c r="B25" t="s">
        <v>416</v>
      </c>
      <c r="E25" s="11"/>
    </row>
    <row r="26" spans="1:5" x14ac:dyDescent="0.2">
      <c r="A26">
        <f t="shared" si="0"/>
        <v>183</v>
      </c>
      <c r="B26" t="s">
        <v>417</v>
      </c>
      <c r="E26" s="11"/>
    </row>
    <row r="27" spans="1:5" x14ac:dyDescent="0.2">
      <c r="A27">
        <f t="shared" si="0"/>
        <v>184</v>
      </c>
      <c r="B27" t="s">
        <v>418</v>
      </c>
      <c r="E27" s="11"/>
    </row>
    <row r="28" spans="1:5" x14ac:dyDescent="0.2">
      <c r="A28">
        <f t="shared" si="0"/>
        <v>185</v>
      </c>
      <c r="B28" t="s">
        <v>419</v>
      </c>
      <c r="E28" s="11"/>
    </row>
    <row r="29" spans="1:5" x14ac:dyDescent="0.2">
      <c r="A29">
        <f t="shared" si="0"/>
        <v>186</v>
      </c>
      <c r="B29" t="s">
        <v>420</v>
      </c>
      <c r="E29" s="11"/>
    </row>
    <row r="30" spans="1:5" x14ac:dyDescent="0.2">
      <c r="A30">
        <f t="shared" si="0"/>
        <v>187</v>
      </c>
      <c r="B30" t="s">
        <v>421</v>
      </c>
      <c r="E30" s="11"/>
    </row>
    <row r="31" spans="1:5" x14ac:dyDescent="0.2">
      <c r="A31">
        <v>211</v>
      </c>
      <c r="B31" t="s">
        <v>99</v>
      </c>
      <c r="E31" s="11"/>
    </row>
    <row r="32" spans="1:5" x14ac:dyDescent="0.2">
      <c r="A32">
        <f t="shared" si="0"/>
        <v>212</v>
      </c>
      <c r="B32" t="s">
        <v>422</v>
      </c>
      <c r="E32" s="11"/>
    </row>
    <row r="33" spans="1:5" x14ac:dyDescent="0.2">
      <c r="A33">
        <f t="shared" si="0"/>
        <v>213</v>
      </c>
      <c r="B33" t="s">
        <v>423</v>
      </c>
      <c r="E33" s="11"/>
    </row>
    <row r="34" spans="1:5" x14ac:dyDescent="0.2">
      <c r="A34">
        <f t="shared" si="0"/>
        <v>214</v>
      </c>
      <c r="B34" t="s">
        <v>424</v>
      </c>
      <c r="E34" s="11"/>
    </row>
    <row r="35" spans="1:5" x14ac:dyDescent="0.2">
      <c r="A35">
        <f t="shared" si="0"/>
        <v>215</v>
      </c>
      <c r="B35" t="s">
        <v>425</v>
      </c>
      <c r="E35" s="11"/>
    </row>
    <row r="36" spans="1:5" x14ac:dyDescent="0.2">
      <c r="A36">
        <f t="shared" si="0"/>
        <v>216</v>
      </c>
      <c r="B36" t="s">
        <v>426</v>
      </c>
      <c r="E36" s="11"/>
    </row>
    <row r="37" spans="1:5" x14ac:dyDescent="0.2">
      <c r="A37">
        <f t="shared" si="0"/>
        <v>217</v>
      </c>
      <c r="B37" t="s">
        <v>427</v>
      </c>
      <c r="E37" s="11"/>
    </row>
    <row r="38" spans="1:5" x14ac:dyDescent="0.2">
      <c r="A38">
        <f t="shared" si="0"/>
        <v>218</v>
      </c>
      <c r="B38" t="s">
        <v>428</v>
      </c>
      <c r="E38" s="11"/>
    </row>
    <row r="39" spans="1:5" x14ac:dyDescent="0.2">
      <c r="A39">
        <f t="shared" si="0"/>
        <v>219</v>
      </c>
      <c r="B39" t="s">
        <v>429</v>
      </c>
      <c r="E39" s="11"/>
    </row>
    <row r="40" spans="1:5" x14ac:dyDescent="0.2">
      <c r="A40">
        <v>241</v>
      </c>
      <c r="B40" t="s">
        <v>100</v>
      </c>
      <c r="E40" s="11"/>
    </row>
    <row r="41" spans="1:5" x14ac:dyDescent="0.2">
      <c r="A41">
        <f t="shared" si="0"/>
        <v>242</v>
      </c>
      <c r="B41" t="s">
        <v>430</v>
      </c>
      <c r="E41" s="11"/>
    </row>
    <row r="42" spans="1:5" x14ac:dyDescent="0.2">
      <c r="A42">
        <f t="shared" si="0"/>
        <v>243</v>
      </c>
      <c r="B42" t="s">
        <v>431</v>
      </c>
      <c r="E42" s="11"/>
    </row>
    <row r="43" spans="1:5" x14ac:dyDescent="0.2">
      <c r="A43">
        <f t="shared" si="0"/>
        <v>244</v>
      </c>
      <c r="B43" t="s">
        <v>432</v>
      </c>
      <c r="E43" s="11"/>
    </row>
    <row r="44" spans="1:5" x14ac:dyDescent="0.2">
      <c r="A44">
        <f t="shared" si="0"/>
        <v>245</v>
      </c>
      <c r="B44" t="s">
        <v>433</v>
      </c>
      <c r="E44" s="11"/>
    </row>
    <row r="45" spans="1:5" x14ac:dyDescent="0.2">
      <c r="A45">
        <f t="shared" si="0"/>
        <v>246</v>
      </c>
      <c r="B45" t="s">
        <v>434</v>
      </c>
      <c r="E45" s="11"/>
    </row>
    <row r="46" spans="1:5" x14ac:dyDescent="0.2">
      <c r="A46">
        <f t="shared" si="0"/>
        <v>247</v>
      </c>
      <c r="B46" t="s">
        <v>435</v>
      </c>
      <c r="E46" s="11"/>
    </row>
    <row r="47" spans="1:5" x14ac:dyDescent="0.2">
      <c r="A47">
        <f t="shared" si="0"/>
        <v>248</v>
      </c>
      <c r="B47" t="s">
        <v>436</v>
      </c>
      <c r="E47" s="11"/>
    </row>
    <row r="48" spans="1:5" x14ac:dyDescent="0.2">
      <c r="A48">
        <f t="shared" si="0"/>
        <v>249</v>
      </c>
      <c r="B48" t="s">
        <v>437</v>
      </c>
      <c r="E48" s="11"/>
    </row>
    <row r="49" spans="1:5" x14ac:dyDescent="0.2">
      <c r="A49">
        <v>271</v>
      </c>
      <c r="B49" t="s">
        <v>101</v>
      </c>
      <c r="E49" s="11"/>
    </row>
    <row r="50" spans="1:5" x14ac:dyDescent="0.2">
      <c r="A50">
        <f t="shared" si="0"/>
        <v>272</v>
      </c>
      <c r="B50" t="s">
        <v>102</v>
      </c>
    </row>
    <row r="51" spans="1:5" x14ac:dyDescent="0.2">
      <c r="A51">
        <f t="shared" si="0"/>
        <v>273</v>
      </c>
      <c r="B51" t="s">
        <v>103</v>
      </c>
    </row>
    <row r="52" spans="1:5" x14ac:dyDescent="0.2">
      <c r="A52">
        <f t="shared" si="0"/>
        <v>274</v>
      </c>
      <c r="B52" t="s">
        <v>104</v>
      </c>
    </row>
    <row r="53" spans="1:5" x14ac:dyDescent="0.2">
      <c r="A53">
        <f t="shared" si="0"/>
        <v>275</v>
      </c>
      <c r="B53" t="s">
        <v>105</v>
      </c>
    </row>
    <row r="54" spans="1:5" x14ac:dyDescent="0.2">
      <c r="A54">
        <f t="shared" si="0"/>
        <v>276</v>
      </c>
      <c r="B54" t="s">
        <v>106</v>
      </c>
    </row>
    <row r="55" spans="1:5" x14ac:dyDescent="0.2">
      <c r="A55">
        <f t="shared" si="0"/>
        <v>277</v>
      </c>
      <c r="B55" t="s">
        <v>107</v>
      </c>
    </row>
    <row r="56" spans="1:5" x14ac:dyDescent="0.2">
      <c r="A56">
        <f t="shared" si="0"/>
        <v>278</v>
      </c>
      <c r="B56" t="s">
        <v>108</v>
      </c>
    </row>
    <row r="57" spans="1:5" x14ac:dyDescent="0.2">
      <c r="A57">
        <f t="shared" si="0"/>
        <v>279</v>
      </c>
      <c r="B57" t="s">
        <v>109</v>
      </c>
    </row>
    <row r="58" spans="1:5" x14ac:dyDescent="0.2">
      <c r="A58">
        <f t="shared" si="0"/>
        <v>280</v>
      </c>
      <c r="B58" t="s">
        <v>110</v>
      </c>
    </row>
    <row r="59" spans="1:5" x14ac:dyDescent="0.2">
      <c r="A59">
        <v>301</v>
      </c>
      <c r="B59" t="s">
        <v>111</v>
      </c>
      <c r="E59" s="11"/>
    </row>
    <row r="60" spans="1:5" x14ac:dyDescent="0.2">
      <c r="A60">
        <f t="shared" si="0"/>
        <v>302</v>
      </c>
      <c r="B60" t="s">
        <v>112</v>
      </c>
    </row>
    <row r="61" spans="1:5" x14ac:dyDescent="0.2">
      <c r="A61">
        <f t="shared" si="0"/>
        <v>303</v>
      </c>
      <c r="B61" t="s">
        <v>113</v>
      </c>
    </row>
    <row r="62" spans="1:5" x14ac:dyDescent="0.2">
      <c r="A62">
        <f t="shared" si="0"/>
        <v>304</v>
      </c>
      <c r="B62" t="s">
        <v>114</v>
      </c>
    </row>
    <row r="63" spans="1:5" x14ac:dyDescent="0.2">
      <c r="A63">
        <f t="shared" si="0"/>
        <v>305</v>
      </c>
      <c r="B63" t="s">
        <v>115</v>
      </c>
    </row>
    <row r="64" spans="1:5" x14ac:dyDescent="0.2">
      <c r="A64">
        <f t="shared" si="0"/>
        <v>306</v>
      </c>
      <c r="B64" t="s">
        <v>116</v>
      </c>
    </row>
    <row r="65" spans="1:5" x14ac:dyDescent="0.2">
      <c r="A65">
        <f t="shared" si="0"/>
        <v>307</v>
      </c>
      <c r="B65" t="s">
        <v>117</v>
      </c>
    </row>
    <row r="66" spans="1:5" x14ac:dyDescent="0.2">
      <c r="A66">
        <f t="shared" si="0"/>
        <v>308</v>
      </c>
      <c r="B66" t="s">
        <v>118</v>
      </c>
    </row>
    <row r="67" spans="1:5" x14ac:dyDescent="0.2">
      <c r="A67">
        <f t="shared" si="0"/>
        <v>309</v>
      </c>
      <c r="B67" t="s">
        <v>119</v>
      </c>
    </row>
    <row r="68" spans="1:5" x14ac:dyDescent="0.2">
      <c r="A68">
        <f t="shared" si="0"/>
        <v>310</v>
      </c>
      <c r="B68" t="s">
        <v>120</v>
      </c>
    </row>
    <row r="69" spans="1:5" x14ac:dyDescent="0.2">
      <c r="A69">
        <f t="shared" si="0"/>
        <v>311</v>
      </c>
      <c r="B69" t="s">
        <v>121</v>
      </c>
    </row>
    <row r="70" spans="1:5" x14ac:dyDescent="0.2">
      <c r="A70">
        <v>331</v>
      </c>
      <c r="B70" t="s">
        <v>122</v>
      </c>
      <c r="E70" s="11"/>
    </row>
    <row r="71" spans="1:5" x14ac:dyDescent="0.2">
      <c r="A71">
        <f t="shared" ref="A71:A133" si="1">A70+1</f>
        <v>332</v>
      </c>
      <c r="B71" t="s">
        <v>123</v>
      </c>
    </row>
    <row r="72" spans="1:5" x14ac:dyDescent="0.2">
      <c r="A72">
        <f t="shared" si="1"/>
        <v>333</v>
      </c>
      <c r="B72" t="s">
        <v>124</v>
      </c>
    </row>
    <row r="73" spans="1:5" x14ac:dyDescent="0.2">
      <c r="A73">
        <f t="shared" si="1"/>
        <v>334</v>
      </c>
      <c r="B73" t="s">
        <v>125</v>
      </c>
    </row>
    <row r="74" spans="1:5" x14ac:dyDescent="0.2">
      <c r="A74">
        <f t="shared" si="1"/>
        <v>335</v>
      </c>
      <c r="B74" t="s">
        <v>126</v>
      </c>
    </row>
    <row r="75" spans="1:5" x14ac:dyDescent="0.2">
      <c r="A75">
        <f t="shared" si="1"/>
        <v>336</v>
      </c>
      <c r="B75" t="s">
        <v>127</v>
      </c>
    </row>
    <row r="76" spans="1:5" x14ac:dyDescent="0.2">
      <c r="A76">
        <f t="shared" si="1"/>
        <v>337</v>
      </c>
      <c r="B76" t="s">
        <v>128</v>
      </c>
    </row>
    <row r="77" spans="1:5" x14ac:dyDescent="0.2">
      <c r="A77">
        <f t="shared" si="1"/>
        <v>338</v>
      </c>
      <c r="B77" t="s">
        <v>129</v>
      </c>
    </row>
    <row r="78" spans="1:5" x14ac:dyDescent="0.2">
      <c r="A78">
        <f t="shared" si="1"/>
        <v>339</v>
      </c>
      <c r="B78" t="s">
        <v>130</v>
      </c>
    </row>
    <row r="79" spans="1:5" x14ac:dyDescent="0.2">
      <c r="A79">
        <f t="shared" si="1"/>
        <v>340</v>
      </c>
      <c r="B79" t="s">
        <v>131</v>
      </c>
    </row>
    <row r="80" spans="1:5" x14ac:dyDescent="0.2">
      <c r="A80">
        <f t="shared" si="1"/>
        <v>341</v>
      </c>
      <c r="B80" t="s">
        <v>132</v>
      </c>
    </row>
    <row r="81" spans="1:5" x14ac:dyDescent="0.2">
      <c r="A81">
        <f t="shared" si="1"/>
        <v>342</v>
      </c>
      <c r="B81" t="s">
        <v>133</v>
      </c>
    </row>
    <row r="82" spans="1:5" x14ac:dyDescent="0.2">
      <c r="A82">
        <v>361</v>
      </c>
      <c r="B82" t="s">
        <v>134</v>
      </c>
      <c r="E82" s="11"/>
    </row>
    <row r="83" spans="1:5" x14ac:dyDescent="0.2">
      <c r="A83">
        <f t="shared" si="1"/>
        <v>362</v>
      </c>
      <c r="B83" t="s">
        <v>135</v>
      </c>
    </row>
    <row r="84" spans="1:5" x14ac:dyDescent="0.2">
      <c r="A84">
        <f t="shared" si="1"/>
        <v>363</v>
      </c>
      <c r="B84" t="s">
        <v>136</v>
      </c>
    </row>
    <row r="85" spans="1:5" x14ac:dyDescent="0.2">
      <c r="A85">
        <f t="shared" si="1"/>
        <v>364</v>
      </c>
      <c r="B85" t="s">
        <v>137</v>
      </c>
    </row>
    <row r="86" spans="1:5" x14ac:dyDescent="0.2">
      <c r="A86">
        <f t="shared" si="1"/>
        <v>365</v>
      </c>
      <c r="B86" t="s">
        <v>138</v>
      </c>
    </row>
    <row r="87" spans="1:5" x14ac:dyDescent="0.2">
      <c r="A87">
        <f t="shared" si="1"/>
        <v>366</v>
      </c>
      <c r="B87" t="s">
        <v>139</v>
      </c>
    </row>
    <row r="88" spans="1:5" x14ac:dyDescent="0.2">
      <c r="A88">
        <f t="shared" si="1"/>
        <v>367</v>
      </c>
      <c r="B88" t="s">
        <v>140</v>
      </c>
    </row>
    <row r="89" spans="1:5" x14ac:dyDescent="0.2">
      <c r="A89">
        <f t="shared" si="1"/>
        <v>368</v>
      </c>
      <c r="B89" t="s">
        <v>141</v>
      </c>
    </row>
    <row r="90" spans="1:5" x14ac:dyDescent="0.2">
      <c r="A90">
        <f t="shared" si="1"/>
        <v>369</v>
      </c>
      <c r="B90" t="s">
        <v>142</v>
      </c>
    </row>
    <row r="91" spans="1:5" x14ac:dyDescent="0.2">
      <c r="A91">
        <f t="shared" si="1"/>
        <v>370</v>
      </c>
      <c r="B91" t="s">
        <v>143</v>
      </c>
    </row>
    <row r="92" spans="1:5" x14ac:dyDescent="0.2">
      <c r="A92">
        <f t="shared" si="1"/>
        <v>371</v>
      </c>
      <c r="B92" t="s">
        <v>144</v>
      </c>
    </row>
    <row r="93" spans="1:5" x14ac:dyDescent="0.2">
      <c r="A93">
        <f t="shared" si="1"/>
        <v>372</v>
      </c>
      <c r="B93" t="s">
        <v>145</v>
      </c>
    </row>
    <row r="94" spans="1:5" x14ac:dyDescent="0.2">
      <c r="A94">
        <f t="shared" si="1"/>
        <v>373</v>
      </c>
      <c r="B94" t="s">
        <v>146</v>
      </c>
    </row>
    <row r="95" spans="1:5" x14ac:dyDescent="0.2">
      <c r="A95">
        <v>391</v>
      </c>
      <c r="B95" t="s">
        <v>147</v>
      </c>
      <c r="E95" s="11"/>
    </row>
    <row r="96" spans="1:5" x14ac:dyDescent="0.2">
      <c r="A96">
        <f t="shared" si="1"/>
        <v>392</v>
      </c>
      <c r="B96" t="s">
        <v>148</v>
      </c>
    </row>
    <row r="97" spans="1:5" x14ac:dyDescent="0.2">
      <c r="A97">
        <f t="shared" si="1"/>
        <v>393</v>
      </c>
      <c r="B97" t="s">
        <v>149</v>
      </c>
    </row>
    <row r="98" spans="1:5" x14ac:dyDescent="0.2">
      <c r="A98">
        <f t="shared" si="1"/>
        <v>394</v>
      </c>
      <c r="B98" t="s">
        <v>150</v>
      </c>
    </row>
    <row r="99" spans="1:5" x14ac:dyDescent="0.2">
      <c r="A99">
        <f t="shared" si="1"/>
        <v>395</v>
      </c>
      <c r="B99" t="s">
        <v>151</v>
      </c>
    </row>
    <row r="100" spans="1:5" x14ac:dyDescent="0.2">
      <c r="A100">
        <f t="shared" si="1"/>
        <v>396</v>
      </c>
      <c r="B100" t="s">
        <v>152</v>
      </c>
    </row>
    <row r="101" spans="1:5" x14ac:dyDescent="0.2">
      <c r="A101">
        <f t="shared" si="1"/>
        <v>397</v>
      </c>
      <c r="B101" t="s">
        <v>153</v>
      </c>
    </row>
    <row r="102" spans="1:5" x14ac:dyDescent="0.2">
      <c r="A102">
        <f t="shared" si="1"/>
        <v>398</v>
      </c>
      <c r="B102" t="s">
        <v>154</v>
      </c>
    </row>
    <row r="103" spans="1:5" x14ac:dyDescent="0.2">
      <c r="A103">
        <f t="shared" si="1"/>
        <v>399</v>
      </c>
      <c r="B103" t="s">
        <v>155</v>
      </c>
    </row>
    <row r="104" spans="1:5" x14ac:dyDescent="0.2">
      <c r="A104">
        <f t="shared" si="1"/>
        <v>400</v>
      </c>
      <c r="B104" t="s">
        <v>156</v>
      </c>
    </row>
    <row r="105" spans="1:5" x14ac:dyDescent="0.2">
      <c r="A105">
        <f t="shared" si="1"/>
        <v>401</v>
      </c>
      <c r="B105" t="s">
        <v>157</v>
      </c>
    </row>
    <row r="106" spans="1:5" x14ac:dyDescent="0.2">
      <c r="A106">
        <f t="shared" si="1"/>
        <v>402</v>
      </c>
      <c r="B106" t="s">
        <v>158</v>
      </c>
    </row>
    <row r="107" spans="1:5" x14ac:dyDescent="0.2">
      <c r="A107">
        <f t="shared" si="1"/>
        <v>403</v>
      </c>
      <c r="B107" t="s">
        <v>159</v>
      </c>
    </row>
    <row r="108" spans="1:5" x14ac:dyDescent="0.2">
      <c r="A108">
        <f t="shared" si="1"/>
        <v>404</v>
      </c>
      <c r="B108" t="s">
        <v>160</v>
      </c>
      <c r="E108" s="11"/>
    </row>
    <row r="109" spans="1:5" x14ac:dyDescent="0.2">
      <c r="A109">
        <v>421</v>
      </c>
      <c r="B109" t="s">
        <v>161</v>
      </c>
      <c r="E109" s="11"/>
    </row>
    <row r="110" spans="1:5" x14ac:dyDescent="0.2">
      <c r="A110">
        <f t="shared" si="1"/>
        <v>422</v>
      </c>
      <c r="B110" t="s">
        <v>162</v>
      </c>
    </row>
    <row r="111" spans="1:5" x14ac:dyDescent="0.2">
      <c r="A111">
        <f t="shared" si="1"/>
        <v>423</v>
      </c>
      <c r="B111" t="s">
        <v>163</v>
      </c>
    </row>
    <row r="112" spans="1:5" x14ac:dyDescent="0.2">
      <c r="A112">
        <f t="shared" si="1"/>
        <v>424</v>
      </c>
      <c r="B112" t="s">
        <v>164</v>
      </c>
    </row>
    <row r="113" spans="1:5" x14ac:dyDescent="0.2">
      <c r="A113">
        <f t="shared" si="1"/>
        <v>425</v>
      </c>
      <c r="B113" t="s">
        <v>165</v>
      </c>
    </row>
    <row r="114" spans="1:5" x14ac:dyDescent="0.2">
      <c r="A114">
        <f t="shared" si="1"/>
        <v>426</v>
      </c>
      <c r="B114" t="s">
        <v>166</v>
      </c>
    </row>
    <row r="115" spans="1:5" x14ac:dyDescent="0.2">
      <c r="A115">
        <f t="shared" si="1"/>
        <v>427</v>
      </c>
      <c r="B115" t="s">
        <v>167</v>
      </c>
    </row>
    <row r="116" spans="1:5" x14ac:dyDescent="0.2">
      <c r="A116">
        <f t="shared" si="1"/>
        <v>428</v>
      </c>
      <c r="B116" t="s">
        <v>168</v>
      </c>
    </row>
    <row r="117" spans="1:5" x14ac:dyDescent="0.2">
      <c r="A117">
        <f t="shared" si="1"/>
        <v>429</v>
      </c>
      <c r="B117" t="s">
        <v>169</v>
      </c>
    </row>
    <row r="118" spans="1:5" x14ac:dyDescent="0.2">
      <c r="A118">
        <f t="shared" si="1"/>
        <v>430</v>
      </c>
      <c r="B118" t="s">
        <v>170</v>
      </c>
    </row>
    <row r="119" spans="1:5" x14ac:dyDescent="0.2">
      <c r="A119">
        <f t="shared" si="1"/>
        <v>431</v>
      </c>
      <c r="B119" t="s">
        <v>171</v>
      </c>
    </row>
    <row r="120" spans="1:5" x14ac:dyDescent="0.2">
      <c r="A120">
        <f t="shared" si="1"/>
        <v>432</v>
      </c>
      <c r="B120" t="s">
        <v>172</v>
      </c>
    </row>
    <row r="121" spans="1:5" x14ac:dyDescent="0.2">
      <c r="A121">
        <f t="shared" si="1"/>
        <v>433</v>
      </c>
      <c r="B121" t="s">
        <v>173</v>
      </c>
    </row>
    <row r="122" spans="1:5" x14ac:dyDescent="0.2">
      <c r="A122">
        <f t="shared" si="1"/>
        <v>434</v>
      </c>
      <c r="B122" t="s">
        <v>174</v>
      </c>
    </row>
    <row r="123" spans="1:5" x14ac:dyDescent="0.2">
      <c r="A123">
        <f t="shared" si="1"/>
        <v>435</v>
      </c>
      <c r="B123" t="s">
        <v>175</v>
      </c>
    </row>
    <row r="124" spans="1:5" x14ac:dyDescent="0.2">
      <c r="A124">
        <v>451</v>
      </c>
      <c r="B124" t="s">
        <v>176</v>
      </c>
      <c r="E124" s="11"/>
    </row>
    <row r="125" spans="1:5" x14ac:dyDescent="0.2">
      <c r="A125">
        <f t="shared" si="1"/>
        <v>452</v>
      </c>
      <c r="B125" t="s">
        <v>177</v>
      </c>
    </row>
    <row r="126" spans="1:5" x14ac:dyDescent="0.2">
      <c r="A126">
        <f t="shared" si="1"/>
        <v>453</v>
      </c>
      <c r="B126" t="s">
        <v>178</v>
      </c>
    </row>
    <row r="127" spans="1:5" x14ac:dyDescent="0.2">
      <c r="A127">
        <f t="shared" si="1"/>
        <v>454</v>
      </c>
      <c r="B127" t="s">
        <v>179</v>
      </c>
    </row>
    <row r="128" spans="1:5" x14ac:dyDescent="0.2">
      <c r="A128">
        <f t="shared" si="1"/>
        <v>455</v>
      </c>
      <c r="B128" t="s">
        <v>180</v>
      </c>
    </row>
    <row r="129" spans="1:5" x14ac:dyDescent="0.2">
      <c r="A129">
        <f t="shared" si="1"/>
        <v>456</v>
      </c>
      <c r="B129" t="s">
        <v>181</v>
      </c>
    </row>
    <row r="130" spans="1:5" x14ac:dyDescent="0.2">
      <c r="A130">
        <f t="shared" si="1"/>
        <v>457</v>
      </c>
      <c r="B130" t="s">
        <v>182</v>
      </c>
    </row>
    <row r="131" spans="1:5" x14ac:dyDescent="0.2">
      <c r="A131">
        <f t="shared" si="1"/>
        <v>458</v>
      </c>
      <c r="B131" t="s">
        <v>183</v>
      </c>
    </row>
    <row r="132" spans="1:5" x14ac:dyDescent="0.2">
      <c r="A132">
        <f t="shared" si="1"/>
        <v>459</v>
      </c>
      <c r="B132" t="s">
        <v>184</v>
      </c>
    </row>
    <row r="133" spans="1:5" x14ac:dyDescent="0.2">
      <c r="A133">
        <f t="shared" si="1"/>
        <v>460</v>
      </c>
      <c r="B133" t="s">
        <v>185</v>
      </c>
    </row>
    <row r="134" spans="1:5" x14ac:dyDescent="0.2">
      <c r="A134">
        <f t="shared" ref="A134:A197" si="2">A133+1</f>
        <v>461</v>
      </c>
      <c r="B134" t="s">
        <v>186</v>
      </c>
    </row>
    <row r="135" spans="1:5" x14ac:dyDescent="0.2">
      <c r="A135">
        <f t="shared" si="2"/>
        <v>462</v>
      </c>
      <c r="B135" t="s">
        <v>187</v>
      </c>
    </row>
    <row r="136" spans="1:5" x14ac:dyDescent="0.2">
      <c r="A136">
        <f t="shared" si="2"/>
        <v>463</v>
      </c>
      <c r="B136" t="s">
        <v>188</v>
      </c>
    </row>
    <row r="137" spans="1:5" x14ac:dyDescent="0.2">
      <c r="A137">
        <f t="shared" si="2"/>
        <v>464</v>
      </c>
      <c r="B137" t="s">
        <v>189</v>
      </c>
    </row>
    <row r="138" spans="1:5" x14ac:dyDescent="0.2">
      <c r="A138">
        <f t="shared" si="2"/>
        <v>465</v>
      </c>
      <c r="B138" t="s">
        <v>190</v>
      </c>
    </row>
    <row r="139" spans="1:5" x14ac:dyDescent="0.2">
      <c r="A139">
        <f t="shared" si="2"/>
        <v>466</v>
      </c>
      <c r="B139" t="s">
        <v>191</v>
      </c>
    </row>
    <row r="140" spans="1:5" x14ac:dyDescent="0.2">
      <c r="A140">
        <v>481</v>
      </c>
      <c r="B140" t="s">
        <v>192</v>
      </c>
      <c r="E140" s="11"/>
    </row>
    <row r="141" spans="1:5" x14ac:dyDescent="0.2">
      <c r="A141">
        <f t="shared" si="2"/>
        <v>482</v>
      </c>
      <c r="B141" t="s">
        <v>193</v>
      </c>
    </row>
    <row r="142" spans="1:5" x14ac:dyDescent="0.2">
      <c r="A142">
        <f t="shared" si="2"/>
        <v>483</v>
      </c>
      <c r="B142" t="s">
        <v>194</v>
      </c>
    </row>
    <row r="143" spans="1:5" x14ac:dyDescent="0.2">
      <c r="A143">
        <f t="shared" si="2"/>
        <v>484</v>
      </c>
      <c r="B143" t="s">
        <v>195</v>
      </c>
    </row>
    <row r="144" spans="1:5" x14ac:dyDescent="0.2">
      <c r="A144">
        <f t="shared" si="2"/>
        <v>485</v>
      </c>
      <c r="B144" t="s">
        <v>196</v>
      </c>
    </row>
    <row r="145" spans="1:5" x14ac:dyDescent="0.2">
      <c r="A145">
        <f t="shared" si="2"/>
        <v>486</v>
      </c>
      <c r="B145" t="s">
        <v>197</v>
      </c>
    </row>
    <row r="146" spans="1:5" x14ac:dyDescent="0.2">
      <c r="A146">
        <f t="shared" si="2"/>
        <v>487</v>
      </c>
      <c r="B146" t="s">
        <v>198</v>
      </c>
    </row>
    <row r="147" spans="1:5" x14ac:dyDescent="0.2">
      <c r="A147">
        <f t="shared" si="2"/>
        <v>488</v>
      </c>
      <c r="B147" t="s">
        <v>199</v>
      </c>
    </row>
    <row r="148" spans="1:5" x14ac:dyDescent="0.2">
      <c r="A148">
        <f t="shared" si="2"/>
        <v>489</v>
      </c>
      <c r="B148" t="s">
        <v>200</v>
      </c>
    </row>
    <row r="149" spans="1:5" x14ac:dyDescent="0.2">
      <c r="A149">
        <f t="shared" si="2"/>
        <v>490</v>
      </c>
      <c r="B149" t="s">
        <v>201</v>
      </c>
    </row>
    <row r="150" spans="1:5" x14ac:dyDescent="0.2">
      <c r="A150">
        <f t="shared" si="2"/>
        <v>491</v>
      </c>
      <c r="B150" t="s">
        <v>202</v>
      </c>
    </row>
    <row r="151" spans="1:5" x14ac:dyDescent="0.2">
      <c r="A151">
        <f t="shared" si="2"/>
        <v>492</v>
      </c>
      <c r="B151" t="s">
        <v>203</v>
      </c>
    </row>
    <row r="152" spans="1:5" x14ac:dyDescent="0.2">
      <c r="A152">
        <f t="shared" si="2"/>
        <v>493</v>
      </c>
      <c r="B152" t="s">
        <v>204</v>
      </c>
    </row>
    <row r="153" spans="1:5" x14ac:dyDescent="0.2">
      <c r="A153">
        <f t="shared" si="2"/>
        <v>494</v>
      </c>
      <c r="B153" t="s">
        <v>205</v>
      </c>
    </row>
    <row r="154" spans="1:5" x14ac:dyDescent="0.2">
      <c r="A154">
        <f t="shared" si="2"/>
        <v>495</v>
      </c>
      <c r="B154" t="s">
        <v>206</v>
      </c>
    </row>
    <row r="155" spans="1:5" x14ac:dyDescent="0.2">
      <c r="A155">
        <f t="shared" si="2"/>
        <v>496</v>
      </c>
      <c r="B155" t="s">
        <v>207</v>
      </c>
    </row>
    <row r="156" spans="1:5" x14ac:dyDescent="0.2">
      <c r="A156">
        <f t="shared" si="2"/>
        <v>497</v>
      </c>
      <c r="B156" t="s">
        <v>208</v>
      </c>
    </row>
    <row r="157" spans="1:5" x14ac:dyDescent="0.2">
      <c r="A157">
        <v>511</v>
      </c>
      <c r="B157" t="s">
        <v>209</v>
      </c>
      <c r="E157" s="11"/>
    </row>
    <row r="158" spans="1:5" x14ac:dyDescent="0.2">
      <c r="A158">
        <f t="shared" si="2"/>
        <v>512</v>
      </c>
      <c r="B158" t="s">
        <v>210</v>
      </c>
    </row>
    <row r="159" spans="1:5" x14ac:dyDescent="0.2">
      <c r="A159">
        <f t="shared" si="2"/>
        <v>513</v>
      </c>
      <c r="B159" t="s">
        <v>211</v>
      </c>
    </row>
    <row r="160" spans="1:5" x14ac:dyDescent="0.2">
      <c r="A160">
        <f t="shared" si="2"/>
        <v>514</v>
      </c>
      <c r="B160" t="s">
        <v>212</v>
      </c>
    </row>
    <row r="161" spans="1:5" x14ac:dyDescent="0.2">
      <c r="A161">
        <f t="shared" si="2"/>
        <v>515</v>
      </c>
      <c r="B161" t="s">
        <v>213</v>
      </c>
    </row>
    <row r="162" spans="1:5" x14ac:dyDescent="0.2">
      <c r="A162">
        <f t="shared" si="2"/>
        <v>516</v>
      </c>
      <c r="B162" t="s">
        <v>214</v>
      </c>
    </row>
    <row r="163" spans="1:5" x14ac:dyDescent="0.2">
      <c r="A163">
        <f t="shared" si="2"/>
        <v>517</v>
      </c>
      <c r="B163" t="s">
        <v>215</v>
      </c>
    </row>
    <row r="164" spans="1:5" x14ac:dyDescent="0.2">
      <c r="A164">
        <f t="shared" si="2"/>
        <v>518</v>
      </c>
      <c r="B164" t="s">
        <v>216</v>
      </c>
    </row>
    <row r="165" spans="1:5" x14ac:dyDescent="0.2">
      <c r="A165">
        <f t="shared" si="2"/>
        <v>519</v>
      </c>
      <c r="B165" t="s">
        <v>217</v>
      </c>
    </row>
    <row r="166" spans="1:5" x14ac:dyDescent="0.2">
      <c r="A166">
        <f t="shared" si="2"/>
        <v>520</v>
      </c>
      <c r="B166" t="s">
        <v>218</v>
      </c>
    </row>
    <row r="167" spans="1:5" x14ac:dyDescent="0.2">
      <c r="A167">
        <f t="shared" si="2"/>
        <v>521</v>
      </c>
      <c r="B167" t="s">
        <v>219</v>
      </c>
    </row>
    <row r="168" spans="1:5" x14ac:dyDescent="0.2">
      <c r="A168">
        <f t="shared" si="2"/>
        <v>522</v>
      </c>
      <c r="B168" t="s">
        <v>220</v>
      </c>
    </row>
    <row r="169" spans="1:5" x14ac:dyDescent="0.2">
      <c r="A169">
        <f t="shared" si="2"/>
        <v>523</v>
      </c>
      <c r="B169" t="s">
        <v>221</v>
      </c>
    </row>
    <row r="170" spans="1:5" x14ac:dyDescent="0.2">
      <c r="A170">
        <f t="shared" si="2"/>
        <v>524</v>
      </c>
      <c r="B170" t="s">
        <v>222</v>
      </c>
    </row>
    <row r="171" spans="1:5" x14ac:dyDescent="0.2">
      <c r="A171">
        <f t="shared" si="2"/>
        <v>525</v>
      </c>
      <c r="B171" t="s">
        <v>223</v>
      </c>
    </row>
    <row r="172" spans="1:5" x14ac:dyDescent="0.2">
      <c r="A172">
        <f t="shared" si="2"/>
        <v>526</v>
      </c>
      <c r="B172" t="s">
        <v>224</v>
      </c>
    </row>
    <row r="173" spans="1:5" x14ac:dyDescent="0.2">
      <c r="A173">
        <f t="shared" si="2"/>
        <v>527</v>
      </c>
      <c r="B173" t="s">
        <v>225</v>
      </c>
    </row>
    <row r="174" spans="1:5" x14ac:dyDescent="0.2">
      <c r="A174">
        <f t="shared" si="2"/>
        <v>528</v>
      </c>
      <c r="B174" t="s">
        <v>226</v>
      </c>
    </row>
    <row r="175" spans="1:5" x14ac:dyDescent="0.2">
      <c r="A175">
        <v>541</v>
      </c>
      <c r="B175" t="s">
        <v>227</v>
      </c>
      <c r="E175" s="11"/>
    </row>
    <row r="176" spans="1:5" x14ac:dyDescent="0.2">
      <c r="A176">
        <f t="shared" si="2"/>
        <v>542</v>
      </c>
      <c r="B176" t="s">
        <v>228</v>
      </c>
    </row>
    <row r="177" spans="1:2" x14ac:dyDescent="0.2">
      <c r="A177">
        <f t="shared" si="2"/>
        <v>543</v>
      </c>
      <c r="B177" t="s">
        <v>229</v>
      </c>
    </row>
    <row r="178" spans="1:2" x14ac:dyDescent="0.2">
      <c r="A178">
        <f t="shared" si="2"/>
        <v>544</v>
      </c>
      <c r="B178" t="s">
        <v>230</v>
      </c>
    </row>
    <row r="179" spans="1:2" x14ac:dyDescent="0.2">
      <c r="A179">
        <f t="shared" si="2"/>
        <v>545</v>
      </c>
      <c r="B179" t="s">
        <v>231</v>
      </c>
    </row>
    <row r="180" spans="1:2" x14ac:dyDescent="0.2">
      <c r="A180">
        <f t="shared" si="2"/>
        <v>546</v>
      </c>
      <c r="B180" t="s">
        <v>232</v>
      </c>
    </row>
    <row r="181" spans="1:2" x14ac:dyDescent="0.2">
      <c r="A181">
        <f t="shared" si="2"/>
        <v>547</v>
      </c>
      <c r="B181" t="s">
        <v>233</v>
      </c>
    </row>
    <row r="182" spans="1:2" x14ac:dyDescent="0.2">
      <c r="A182">
        <f t="shared" si="2"/>
        <v>548</v>
      </c>
      <c r="B182" t="s">
        <v>234</v>
      </c>
    </row>
    <row r="183" spans="1:2" x14ac:dyDescent="0.2">
      <c r="A183">
        <f t="shared" si="2"/>
        <v>549</v>
      </c>
      <c r="B183" t="s">
        <v>235</v>
      </c>
    </row>
    <row r="184" spans="1:2" x14ac:dyDescent="0.2">
      <c r="A184">
        <f t="shared" si="2"/>
        <v>550</v>
      </c>
      <c r="B184" t="s">
        <v>236</v>
      </c>
    </row>
    <row r="185" spans="1:2" x14ac:dyDescent="0.2">
      <c r="A185">
        <f t="shared" si="2"/>
        <v>551</v>
      </c>
      <c r="B185" t="s">
        <v>237</v>
      </c>
    </row>
    <row r="186" spans="1:2" x14ac:dyDescent="0.2">
      <c r="A186">
        <f t="shared" si="2"/>
        <v>552</v>
      </c>
      <c r="B186" t="s">
        <v>238</v>
      </c>
    </row>
    <row r="187" spans="1:2" x14ac:dyDescent="0.2">
      <c r="A187">
        <f t="shared" si="2"/>
        <v>553</v>
      </c>
      <c r="B187" t="s">
        <v>239</v>
      </c>
    </row>
    <row r="188" spans="1:2" x14ac:dyDescent="0.2">
      <c r="A188">
        <f t="shared" si="2"/>
        <v>554</v>
      </c>
      <c r="B188" t="s">
        <v>240</v>
      </c>
    </row>
    <row r="189" spans="1:2" x14ac:dyDescent="0.2">
      <c r="A189">
        <f t="shared" si="2"/>
        <v>555</v>
      </c>
      <c r="B189" t="s">
        <v>241</v>
      </c>
    </row>
    <row r="190" spans="1:2" x14ac:dyDescent="0.2">
      <c r="A190">
        <f t="shared" si="2"/>
        <v>556</v>
      </c>
      <c r="B190" t="s">
        <v>242</v>
      </c>
    </row>
    <row r="191" spans="1:2" x14ac:dyDescent="0.2">
      <c r="A191">
        <f t="shared" si="2"/>
        <v>557</v>
      </c>
      <c r="B191" t="s">
        <v>243</v>
      </c>
    </row>
    <row r="192" spans="1:2" x14ac:dyDescent="0.2">
      <c r="A192">
        <f t="shared" si="2"/>
        <v>558</v>
      </c>
      <c r="B192" t="s">
        <v>244</v>
      </c>
    </row>
    <row r="193" spans="1:5" x14ac:dyDescent="0.2">
      <c r="A193">
        <f t="shared" si="2"/>
        <v>559</v>
      </c>
      <c r="B193" t="s">
        <v>245</v>
      </c>
    </row>
    <row r="194" spans="1:5" x14ac:dyDescent="0.2">
      <c r="A194">
        <v>571</v>
      </c>
      <c r="B194" t="s">
        <v>246</v>
      </c>
      <c r="E194" s="11"/>
    </row>
    <row r="195" spans="1:5" x14ac:dyDescent="0.2">
      <c r="A195">
        <f t="shared" si="2"/>
        <v>572</v>
      </c>
      <c r="B195" t="s">
        <v>247</v>
      </c>
    </row>
    <row r="196" spans="1:5" x14ac:dyDescent="0.2">
      <c r="A196">
        <f t="shared" si="2"/>
        <v>573</v>
      </c>
      <c r="B196" t="s">
        <v>248</v>
      </c>
    </row>
    <row r="197" spans="1:5" x14ac:dyDescent="0.2">
      <c r="A197">
        <f t="shared" si="2"/>
        <v>574</v>
      </c>
      <c r="B197" t="s">
        <v>249</v>
      </c>
    </row>
    <row r="198" spans="1:5" x14ac:dyDescent="0.2">
      <c r="A198">
        <f t="shared" ref="A198:A261" si="3">A197+1</f>
        <v>575</v>
      </c>
      <c r="B198" t="s">
        <v>250</v>
      </c>
    </row>
    <row r="199" spans="1:5" x14ac:dyDescent="0.2">
      <c r="A199">
        <f t="shared" si="3"/>
        <v>576</v>
      </c>
      <c r="B199" t="s">
        <v>251</v>
      </c>
    </row>
    <row r="200" spans="1:5" x14ac:dyDescent="0.2">
      <c r="A200">
        <f t="shared" si="3"/>
        <v>577</v>
      </c>
      <c r="B200" t="s">
        <v>252</v>
      </c>
    </row>
    <row r="201" spans="1:5" x14ac:dyDescent="0.2">
      <c r="A201">
        <f t="shared" si="3"/>
        <v>578</v>
      </c>
      <c r="B201" t="s">
        <v>253</v>
      </c>
    </row>
    <row r="202" spans="1:5" x14ac:dyDescent="0.2">
      <c r="A202">
        <f t="shared" si="3"/>
        <v>579</v>
      </c>
      <c r="B202" t="s">
        <v>254</v>
      </c>
    </row>
    <row r="203" spans="1:5" x14ac:dyDescent="0.2">
      <c r="A203">
        <f t="shared" si="3"/>
        <v>580</v>
      </c>
      <c r="B203" t="s">
        <v>255</v>
      </c>
    </row>
    <row r="204" spans="1:5" x14ac:dyDescent="0.2">
      <c r="A204">
        <f t="shared" si="3"/>
        <v>581</v>
      </c>
      <c r="B204" t="s">
        <v>256</v>
      </c>
    </row>
    <row r="205" spans="1:5" x14ac:dyDescent="0.2">
      <c r="A205">
        <f t="shared" si="3"/>
        <v>582</v>
      </c>
      <c r="B205" t="s">
        <v>257</v>
      </c>
    </row>
    <row r="206" spans="1:5" x14ac:dyDescent="0.2">
      <c r="A206">
        <f t="shared" si="3"/>
        <v>583</v>
      </c>
      <c r="B206" t="s">
        <v>258</v>
      </c>
    </row>
    <row r="207" spans="1:5" x14ac:dyDescent="0.2">
      <c r="A207">
        <f t="shared" si="3"/>
        <v>584</v>
      </c>
      <c r="B207" t="s">
        <v>259</v>
      </c>
    </row>
    <row r="208" spans="1:5" x14ac:dyDescent="0.2">
      <c r="A208">
        <f t="shared" si="3"/>
        <v>585</v>
      </c>
      <c r="B208" t="s">
        <v>260</v>
      </c>
    </row>
    <row r="209" spans="1:5" x14ac:dyDescent="0.2">
      <c r="A209">
        <f t="shared" si="3"/>
        <v>586</v>
      </c>
      <c r="B209" t="s">
        <v>261</v>
      </c>
    </row>
    <row r="210" spans="1:5" x14ac:dyDescent="0.2">
      <c r="A210">
        <f t="shared" si="3"/>
        <v>587</v>
      </c>
      <c r="B210" t="s">
        <v>262</v>
      </c>
    </row>
    <row r="211" spans="1:5" x14ac:dyDescent="0.2">
      <c r="A211">
        <f t="shared" si="3"/>
        <v>588</v>
      </c>
      <c r="B211" t="s">
        <v>263</v>
      </c>
    </row>
    <row r="212" spans="1:5" x14ac:dyDescent="0.2">
      <c r="A212">
        <f t="shared" si="3"/>
        <v>589</v>
      </c>
      <c r="B212" t="s">
        <v>264</v>
      </c>
    </row>
    <row r="213" spans="1:5" x14ac:dyDescent="0.2">
      <c r="A213">
        <f t="shared" si="3"/>
        <v>590</v>
      </c>
      <c r="B213" t="s">
        <v>265</v>
      </c>
    </row>
    <row r="214" spans="1:5" x14ac:dyDescent="0.2">
      <c r="A214">
        <v>601</v>
      </c>
      <c r="B214" t="s">
        <v>266</v>
      </c>
      <c r="E214" s="11"/>
    </row>
    <row r="215" spans="1:5" x14ac:dyDescent="0.2">
      <c r="A215">
        <f t="shared" si="3"/>
        <v>602</v>
      </c>
      <c r="B215" t="s">
        <v>267</v>
      </c>
    </row>
    <row r="216" spans="1:5" x14ac:dyDescent="0.2">
      <c r="A216">
        <f t="shared" si="3"/>
        <v>603</v>
      </c>
      <c r="B216" t="s">
        <v>268</v>
      </c>
    </row>
    <row r="217" spans="1:5" x14ac:dyDescent="0.2">
      <c r="A217">
        <f t="shared" si="3"/>
        <v>604</v>
      </c>
      <c r="B217" t="s">
        <v>269</v>
      </c>
    </row>
    <row r="218" spans="1:5" x14ac:dyDescent="0.2">
      <c r="A218">
        <f t="shared" si="3"/>
        <v>605</v>
      </c>
      <c r="B218" t="s">
        <v>270</v>
      </c>
    </row>
    <row r="219" spans="1:5" x14ac:dyDescent="0.2">
      <c r="A219">
        <f t="shared" si="3"/>
        <v>606</v>
      </c>
      <c r="B219" t="s">
        <v>271</v>
      </c>
    </row>
    <row r="220" spans="1:5" x14ac:dyDescent="0.2">
      <c r="A220">
        <f t="shared" si="3"/>
        <v>607</v>
      </c>
      <c r="B220" t="s">
        <v>272</v>
      </c>
    </row>
    <row r="221" spans="1:5" x14ac:dyDescent="0.2">
      <c r="A221">
        <f t="shared" si="3"/>
        <v>608</v>
      </c>
      <c r="B221" t="s">
        <v>273</v>
      </c>
    </row>
    <row r="222" spans="1:5" x14ac:dyDescent="0.2">
      <c r="A222">
        <f t="shared" si="3"/>
        <v>609</v>
      </c>
      <c r="B222" t="s">
        <v>274</v>
      </c>
    </row>
    <row r="223" spans="1:5" x14ac:dyDescent="0.2">
      <c r="A223">
        <f t="shared" si="3"/>
        <v>610</v>
      </c>
      <c r="B223" t="s">
        <v>275</v>
      </c>
    </row>
    <row r="224" spans="1:5" x14ac:dyDescent="0.2">
      <c r="A224">
        <f t="shared" si="3"/>
        <v>611</v>
      </c>
      <c r="B224" t="s">
        <v>276</v>
      </c>
    </row>
    <row r="225" spans="1:5" x14ac:dyDescent="0.2">
      <c r="A225">
        <f t="shared" si="3"/>
        <v>612</v>
      </c>
      <c r="B225" t="s">
        <v>277</v>
      </c>
    </row>
    <row r="226" spans="1:5" x14ac:dyDescent="0.2">
      <c r="A226">
        <f t="shared" si="3"/>
        <v>613</v>
      </c>
      <c r="B226" t="s">
        <v>278</v>
      </c>
    </row>
    <row r="227" spans="1:5" x14ac:dyDescent="0.2">
      <c r="A227">
        <f t="shared" si="3"/>
        <v>614</v>
      </c>
      <c r="B227" t="s">
        <v>279</v>
      </c>
    </row>
    <row r="228" spans="1:5" x14ac:dyDescent="0.2">
      <c r="A228">
        <f t="shared" si="3"/>
        <v>615</v>
      </c>
      <c r="B228" t="s">
        <v>280</v>
      </c>
    </row>
    <row r="229" spans="1:5" x14ac:dyDescent="0.2">
      <c r="A229">
        <f t="shared" si="3"/>
        <v>616</v>
      </c>
      <c r="B229" t="s">
        <v>281</v>
      </c>
    </row>
    <row r="230" spans="1:5" x14ac:dyDescent="0.2">
      <c r="A230">
        <f t="shared" si="3"/>
        <v>617</v>
      </c>
      <c r="B230" t="s">
        <v>282</v>
      </c>
    </row>
    <row r="231" spans="1:5" x14ac:dyDescent="0.2">
      <c r="A231">
        <f t="shared" si="3"/>
        <v>618</v>
      </c>
      <c r="B231" t="s">
        <v>283</v>
      </c>
    </row>
    <row r="232" spans="1:5" x14ac:dyDescent="0.2">
      <c r="A232">
        <f t="shared" si="3"/>
        <v>619</v>
      </c>
      <c r="B232" t="s">
        <v>284</v>
      </c>
    </row>
    <row r="233" spans="1:5" x14ac:dyDescent="0.2">
      <c r="A233">
        <f t="shared" si="3"/>
        <v>620</v>
      </c>
      <c r="B233" t="s">
        <v>285</v>
      </c>
    </row>
    <row r="234" spans="1:5" x14ac:dyDescent="0.2">
      <c r="A234">
        <f t="shared" si="3"/>
        <v>621</v>
      </c>
      <c r="B234" t="s">
        <v>286</v>
      </c>
    </row>
    <row r="235" spans="1:5" x14ac:dyDescent="0.2">
      <c r="A235">
        <v>631</v>
      </c>
      <c r="B235" t="s">
        <v>287</v>
      </c>
      <c r="E235" s="11"/>
    </row>
    <row r="236" spans="1:5" x14ac:dyDescent="0.2">
      <c r="A236">
        <f t="shared" si="3"/>
        <v>632</v>
      </c>
      <c r="B236" t="s">
        <v>288</v>
      </c>
    </row>
    <row r="237" spans="1:5" x14ac:dyDescent="0.2">
      <c r="A237">
        <f t="shared" si="3"/>
        <v>633</v>
      </c>
      <c r="B237" t="s">
        <v>289</v>
      </c>
    </row>
    <row r="238" spans="1:5" x14ac:dyDescent="0.2">
      <c r="A238">
        <f t="shared" si="3"/>
        <v>634</v>
      </c>
      <c r="B238" t="s">
        <v>290</v>
      </c>
    </row>
    <row r="239" spans="1:5" x14ac:dyDescent="0.2">
      <c r="A239">
        <f t="shared" si="3"/>
        <v>635</v>
      </c>
      <c r="B239" t="s">
        <v>291</v>
      </c>
    </row>
    <row r="240" spans="1:5" x14ac:dyDescent="0.2">
      <c r="A240">
        <f t="shared" si="3"/>
        <v>636</v>
      </c>
      <c r="B240" t="s">
        <v>292</v>
      </c>
    </row>
    <row r="241" spans="1:2" x14ac:dyDescent="0.2">
      <c r="A241">
        <f t="shared" si="3"/>
        <v>637</v>
      </c>
      <c r="B241" t="s">
        <v>293</v>
      </c>
    </row>
    <row r="242" spans="1:2" x14ac:dyDescent="0.2">
      <c r="A242">
        <f t="shared" si="3"/>
        <v>638</v>
      </c>
      <c r="B242" t="s">
        <v>294</v>
      </c>
    </row>
    <row r="243" spans="1:2" x14ac:dyDescent="0.2">
      <c r="A243">
        <f t="shared" si="3"/>
        <v>639</v>
      </c>
      <c r="B243" t="s">
        <v>295</v>
      </c>
    </row>
    <row r="244" spans="1:2" x14ac:dyDescent="0.2">
      <c r="A244">
        <f t="shared" si="3"/>
        <v>640</v>
      </c>
      <c r="B244" t="s">
        <v>296</v>
      </c>
    </row>
    <row r="245" spans="1:2" x14ac:dyDescent="0.2">
      <c r="A245">
        <f t="shared" si="3"/>
        <v>641</v>
      </c>
      <c r="B245" t="s">
        <v>297</v>
      </c>
    </row>
    <row r="246" spans="1:2" x14ac:dyDescent="0.2">
      <c r="A246">
        <f t="shared" si="3"/>
        <v>642</v>
      </c>
      <c r="B246" t="s">
        <v>298</v>
      </c>
    </row>
    <row r="247" spans="1:2" x14ac:dyDescent="0.2">
      <c r="A247">
        <f t="shared" si="3"/>
        <v>643</v>
      </c>
      <c r="B247" t="s">
        <v>299</v>
      </c>
    </row>
    <row r="248" spans="1:2" x14ac:dyDescent="0.2">
      <c r="A248">
        <f t="shared" si="3"/>
        <v>644</v>
      </c>
      <c r="B248" t="s">
        <v>300</v>
      </c>
    </row>
    <row r="249" spans="1:2" x14ac:dyDescent="0.2">
      <c r="A249">
        <f t="shared" si="3"/>
        <v>645</v>
      </c>
      <c r="B249" t="s">
        <v>301</v>
      </c>
    </row>
    <row r="250" spans="1:2" x14ac:dyDescent="0.2">
      <c r="A250">
        <f t="shared" si="3"/>
        <v>646</v>
      </c>
      <c r="B250" t="s">
        <v>302</v>
      </c>
    </row>
    <row r="251" spans="1:2" x14ac:dyDescent="0.2">
      <c r="A251">
        <f t="shared" si="3"/>
        <v>647</v>
      </c>
      <c r="B251" t="s">
        <v>303</v>
      </c>
    </row>
    <row r="252" spans="1:2" x14ac:dyDescent="0.2">
      <c r="A252">
        <f t="shared" si="3"/>
        <v>648</v>
      </c>
      <c r="B252" t="s">
        <v>304</v>
      </c>
    </row>
    <row r="253" spans="1:2" x14ac:dyDescent="0.2">
      <c r="A253">
        <f t="shared" si="3"/>
        <v>649</v>
      </c>
      <c r="B253" t="s">
        <v>305</v>
      </c>
    </row>
    <row r="254" spans="1:2" x14ac:dyDescent="0.2">
      <c r="A254">
        <f t="shared" si="3"/>
        <v>650</v>
      </c>
      <c r="B254" t="s">
        <v>306</v>
      </c>
    </row>
    <row r="255" spans="1:2" x14ac:dyDescent="0.2">
      <c r="A255">
        <f t="shared" si="3"/>
        <v>651</v>
      </c>
      <c r="B255" t="s">
        <v>307</v>
      </c>
    </row>
    <row r="256" spans="1:2" x14ac:dyDescent="0.2">
      <c r="A256">
        <f t="shared" si="3"/>
        <v>652</v>
      </c>
      <c r="B256" t="s">
        <v>308</v>
      </c>
    </row>
    <row r="257" spans="1:5" x14ac:dyDescent="0.2">
      <c r="A257">
        <v>661</v>
      </c>
      <c r="B257" t="s">
        <v>309</v>
      </c>
      <c r="E257" s="11"/>
    </row>
    <row r="258" spans="1:5" x14ac:dyDescent="0.2">
      <c r="A258">
        <f t="shared" si="3"/>
        <v>662</v>
      </c>
      <c r="B258" t="s">
        <v>310</v>
      </c>
    </row>
    <row r="259" spans="1:5" x14ac:dyDescent="0.2">
      <c r="A259">
        <f t="shared" si="3"/>
        <v>663</v>
      </c>
      <c r="B259" t="s">
        <v>311</v>
      </c>
    </row>
    <row r="260" spans="1:5" x14ac:dyDescent="0.2">
      <c r="A260">
        <f t="shared" si="3"/>
        <v>664</v>
      </c>
      <c r="B260" t="s">
        <v>312</v>
      </c>
    </row>
    <row r="261" spans="1:5" x14ac:dyDescent="0.2">
      <c r="A261">
        <f t="shared" si="3"/>
        <v>665</v>
      </c>
      <c r="B261" t="s">
        <v>313</v>
      </c>
    </row>
    <row r="262" spans="1:5" x14ac:dyDescent="0.2">
      <c r="A262">
        <f t="shared" ref="A262:A325" si="4">A261+1</f>
        <v>666</v>
      </c>
      <c r="B262" t="s">
        <v>314</v>
      </c>
    </row>
    <row r="263" spans="1:5" x14ac:dyDescent="0.2">
      <c r="A263">
        <f t="shared" si="4"/>
        <v>667</v>
      </c>
      <c r="B263" t="s">
        <v>315</v>
      </c>
    </row>
    <row r="264" spans="1:5" x14ac:dyDescent="0.2">
      <c r="A264">
        <f t="shared" si="4"/>
        <v>668</v>
      </c>
      <c r="B264" t="s">
        <v>316</v>
      </c>
    </row>
    <row r="265" spans="1:5" x14ac:dyDescent="0.2">
      <c r="A265">
        <f t="shared" si="4"/>
        <v>669</v>
      </c>
      <c r="B265" t="s">
        <v>317</v>
      </c>
    </row>
    <row r="266" spans="1:5" x14ac:dyDescent="0.2">
      <c r="A266">
        <f t="shared" si="4"/>
        <v>670</v>
      </c>
      <c r="B266" t="s">
        <v>318</v>
      </c>
    </row>
    <row r="267" spans="1:5" x14ac:dyDescent="0.2">
      <c r="A267">
        <f t="shared" si="4"/>
        <v>671</v>
      </c>
      <c r="B267" t="s">
        <v>319</v>
      </c>
    </row>
    <row r="268" spans="1:5" x14ac:dyDescent="0.2">
      <c r="A268">
        <f t="shared" si="4"/>
        <v>672</v>
      </c>
      <c r="B268" t="s">
        <v>320</v>
      </c>
    </row>
    <row r="269" spans="1:5" x14ac:dyDescent="0.2">
      <c r="A269">
        <f t="shared" si="4"/>
        <v>673</v>
      </c>
      <c r="B269" t="s">
        <v>321</v>
      </c>
    </row>
    <row r="270" spans="1:5" x14ac:dyDescent="0.2">
      <c r="A270">
        <f t="shared" si="4"/>
        <v>674</v>
      </c>
      <c r="B270" t="s">
        <v>322</v>
      </c>
    </row>
    <row r="271" spans="1:5" x14ac:dyDescent="0.2">
      <c r="A271">
        <f t="shared" si="4"/>
        <v>675</v>
      </c>
      <c r="B271" t="s">
        <v>323</v>
      </c>
    </row>
    <row r="272" spans="1:5" x14ac:dyDescent="0.2">
      <c r="A272">
        <f t="shared" si="4"/>
        <v>676</v>
      </c>
      <c r="B272" t="s">
        <v>324</v>
      </c>
    </row>
    <row r="273" spans="1:5" x14ac:dyDescent="0.2">
      <c r="A273">
        <f t="shared" si="4"/>
        <v>677</v>
      </c>
      <c r="B273" t="s">
        <v>325</v>
      </c>
    </row>
    <row r="274" spans="1:5" x14ac:dyDescent="0.2">
      <c r="A274">
        <f t="shared" si="4"/>
        <v>678</v>
      </c>
      <c r="B274" t="s">
        <v>326</v>
      </c>
    </row>
    <row r="275" spans="1:5" x14ac:dyDescent="0.2">
      <c r="A275">
        <f t="shared" si="4"/>
        <v>679</v>
      </c>
      <c r="B275" t="s">
        <v>327</v>
      </c>
    </row>
    <row r="276" spans="1:5" x14ac:dyDescent="0.2">
      <c r="A276">
        <f t="shared" si="4"/>
        <v>680</v>
      </c>
      <c r="B276" t="s">
        <v>328</v>
      </c>
    </row>
    <row r="277" spans="1:5" x14ac:dyDescent="0.2">
      <c r="A277">
        <f t="shared" si="4"/>
        <v>681</v>
      </c>
      <c r="B277" t="s">
        <v>329</v>
      </c>
    </row>
    <row r="278" spans="1:5" x14ac:dyDescent="0.2">
      <c r="A278">
        <f t="shared" si="4"/>
        <v>682</v>
      </c>
      <c r="B278" t="s">
        <v>330</v>
      </c>
    </row>
    <row r="279" spans="1:5" x14ac:dyDescent="0.2">
      <c r="A279">
        <f t="shared" si="4"/>
        <v>683</v>
      </c>
      <c r="B279" t="s">
        <v>331</v>
      </c>
    </row>
    <row r="280" spans="1:5" x14ac:dyDescent="0.2">
      <c r="A280">
        <v>691</v>
      </c>
      <c r="B280" t="s">
        <v>332</v>
      </c>
      <c r="E280" s="11"/>
    </row>
    <row r="281" spans="1:5" x14ac:dyDescent="0.2">
      <c r="A281">
        <f t="shared" si="4"/>
        <v>692</v>
      </c>
      <c r="B281" t="s">
        <v>333</v>
      </c>
    </row>
    <row r="282" spans="1:5" x14ac:dyDescent="0.2">
      <c r="A282">
        <f t="shared" si="4"/>
        <v>693</v>
      </c>
      <c r="B282" t="s">
        <v>334</v>
      </c>
    </row>
    <row r="283" spans="1:5" x14ac:dyDescent="0.2">
      <c r="A283">
        <f t="shared" si="4"/>
        <v>694</v>
      </c>
      <c r="B283" t="s">
        <v>335</v>
      </c>
    </row>
    <row r="284" spans="1:5" x14ac:dyDescent="0.2">
      <c r="A284">
        <f t="shared" si="4"/>
        <v>695</v>
      </c>
      <c r="B284" t="s">
        <v>336</v>
      </c>
    </row>
    <row r="285" spans="1:5" x14ac:dyDescent="0.2">
      <c r="A285">
        <f t="shared" si="4"/>
        <v>696</v>
      </c>
      <c r="B285" t="s">
        <v>337</v>
      </c>
    </row>
    <row r="286" spans="1:5" x14ac:dyDescent="0.2">
      <c r="A286">
        <f t="shared" si="4"/>
        <v>697</v>
      </c>
      <c r="B286" t="s">
        <v>338</v>
      </c>
    </row>
    <row r="287" spans="1:5" x14ac:dyDescent="0.2">
      <c r="A287">
        <f t="shared" si="4"/>
        <v>698</v>
      </c>
      <c r="B287" t="s">
        <v>339</v>
      </c>
    </row>
    <row r="288" spans="1:5" x14ac:dyDescent="0.2">
      <c r="A288">
        <f t="shared" si="4"/>
        <v>699</v>
      </c>
      <c r="B288" t="s">
        <v>340</v>
      </c>
    </row>
    <row r="289" spans="1:5" x14ac:dyDescent="0.2">
      <c r="A289">
        <f t="shared" si="4"/>
        <v>700</v>
      </c>
      <c r="B289" t="s">
        <v>341</v>
      </c>
    </row>
    <row r="290" spans="1:5" x14ac:dyDescent="0.2">
      <c r="A290">
        <f t="shared" si="4"/>
        <v>701</v>
      </c>
      <c r="B290" t="s">
        <v>342</v>
      </c>
    </row>
    <row r="291" spans="1:5" x14ac:dyDescent="0.2">
      <c r="A291">
        <f t="shared" si="4"/>
        <v>702</v>
      </c>
      <c r="B291" t="s">
        <v>343</v>
      </c>
    </row>
    <row r="292" spans="1:5" x14ac:dyDescent="0.2">
      <c r="A292">
        <f t="shared" si="4"/>
        <v>703</v>
      </c>
      <c r="B292" t="s">
        <v>344</v>
      </c>
    </row>
    <row r="293" spans="1:5" x14ac:dyDescent="0.2">
      <c r="A293">
        <f t="shared" si="4"/>
        <v>704</v>
      </c>
      <c r="B293" t="s">
        <v>345</v>
      </c>
    </row>
    <row r="294" spans="1:5" x14ac:dyDescent="0.2">
      <c r="A294">
        <f t="shared" si="4"/>
        <v>705</v>
      </c>
      <c r="B294" t="s">
        <v>346</v>
      </c>
    </row>
    <row r="295" spans="1:5" x14ac:dyDescent="0.2">
      <c r="A295">
        <f t="shared" si="4"/>
        <v>706</v>
      </c>
      <c r="B295" t="s">
        <v>347</v>
      </c>
    </row>
    <row r="296" spans="1:5" x14ac:dyDescent="0.2">
      <c r="A296">
        <f t="shared" si="4"/>
        <v>707</v>
      </c>
      <c r="B296" t="s">
        <v>348</v>
      </c>
    </row>
    <row r="297" spans="1:5" x14ac:dyDescent="0.2">
      <c r="A297">
        <f t="shared" si="4"/>
        <v>708</v>
      </c>
      <c r="B297" t="s">
        <v>349</v>
      </c>
    </row>
    <row r="298" spans="1:5" x14ac:dyDescent="0.2">
      <c r="A298">
        <f t="shared" si="4"/>
        <v>709</v>
      </c>
      <c r="B298" t="s">
        <v>350</v>
      </c>
    </row>
    <row r="299" spans="1:5" x14ac:dyDescent="0.2">
      <c r="A299">
        <f t="shared" si="4"/>
        <v>710</v>
      </c>
      <c r="B299" t="s">
        <v>351</v>
      </c>
    </row>
    <row r="300" spans="1:5" x14ac:dyDescent="0.2">
      <c r="A300">
        <f t="shared" si="4"/>
        <v>711</v>
      </c>
      <c r="B300" t="s">
        <v>352</v>
      </c>
    </row>
    <row r="301" spans="1:5" x14ac:dyDescent="0.2">
      <c r="A301">
        <f t="shared" si="4"/>
        <v>712</v>
      </c>
      <c r="B301" t="s">
        <v>353</v>
      </c>
    </row>
    <row r="302" spans="1:5" x14ac:dyDescent="0.2">
      <c r="A302">
        <f t="shared" si="4"/>
        <v>713</v>
      </c>
      <c r="B302" t="s">
        <v>354</v>
      </c>
    </row>
    <row r="303" spans="1:5" x14ac:dyDescent="0.2">
      <c r="A303">
        <f t="shared" si="4"/>
        <v>714</v>
      </c>
      <c r="B303" t="s">
        <v>355</v>
      </c>
    </row>
    <row r="304" spans="1:5" x14ac:dyDescent="0.2">
      <c r="A304">
        <v>721</v>
      </c>
      <c r="B304" t="s">
        <v>356</v>
      </c>
      <c r="E304" s="11"/>
    </row>
    <row r="305" spans="1:2" x14ac:dyDescent="0.2">
      <c r="A305">
        <f t="shared" si="4"/>
        <v>722</v>
      </c>
      <c r="B305" t="s">
        <v>357</v>
      </c>
    </row>
    <row r="306" spans="1:2" x14ac:dyDescent="0.2">
      <c r="A306">
        <f t="shared" si="4"/>
        <v>723</v>
      </c>
      <c r="B306" t="s">
        <v>358</v>
      </c>
    </row>
    <row r="307" spans="1:2" x14ac:dyDescent="0.2">
      <c r="A307">
        <f t="shared" si="4"/>
        <v>724</v>
      </c>
      <c r="B307" t="s">
        <v>359</v>
      </c>
    </row>
    <row r="308" spans="1:2" x14ac:dyDescent="0.2">
      <c r="A308">
        <f t="shared" si="4"/>
        <v>725</v>
      </c>
      <c r="B308" t="s">
        <v>360</v>
      </c>
    </row>
    <row r="309" spans="1:2" x14ac:dyDescent="0.2">
      <c r="A309">
        <f t="shared" si="4"/>
        <v>726</v>
      </c>
      <c r="B309" t="s">
        <v>361</v>
      </c>
    </row>
    <row r="310" spans="1:2" x14ac:dyDescent="0.2">
      <c r="A310">
        <f t="shared" si="4"/>
        <v>727</v>
      </c>
      <c r="B310" t="s">
        <v>362</v>
      </c>
    </row>
    <row r="311" spans="1:2" x14ac:dyDescent="0.2">
      <c r="A311">
        <f t="shared" si="4"/>
        <v>728</v>
      </c>
      <c r="B311" t="s">
        <v>363</v>
      </c>
    </row>
    <row r="312" spans="1:2" x14ac:dyDescent="0.2">
      <c r="A312">
        <f t="shared" si="4"/>
        <v>729</v>
      </c>
      <c r="B312" t="s">
        <v>364</v>
      </c>
    </row>
    <row r="313" spans="1:2" x14ac:dyDescent="0.2">
      <c r="A313">
        <f t="shared" si="4"/>
        <v>730</v>
      </c>
      <c r="B313" t="s">
        <v>365</v>
      </c>
    </row>
    <row r="314" spans="1:2" x14ac:dyDescent="0.2">
      <c r="A314">
        <f t="shared" si="4"/>
        <v>731</v>
      </c>
      <c r="B314" t="s">
        <v>366</v>
      </c>
    </row>
    <row r="315" spans="1:2" x14ac:dyDescent="0.2">
      <c r="A315">
        <f t="shared" si="4"/>
        <v>732</v>
      </c>
      <c r="B315" t="s">
        <v>367</v>
      </c>
    </row>
    <row r="316" spans="1:2" x14ac:dyDescent="0.2">
      <c r="A316">
        <f t="shared" si="4"/>
        <v>733</v>
      </c>
      <c r="B316" t="s">
        <v>368</v>
      </c>
    </row>
    <row r="317" spans="1:2" x14ac:dyDescent="0.2">
      <c r="A317">
        <f t="shared" si="4"/>
        <v>734</v>
      </c>
      <c r="B317" t="s">
        <v>369</v>
      </c>
    </row>
    <row r="318" spans="1:2" x14ac:dyDescent="0.2">
      <c r="A318">
        <f t="shared" si="4"/>
        <v>735</v>
      </c>
      <c r="B318" t="s">
        <v>370</v>
      </c>
    </row>
    <row r="319" spans="1:2" x14ac:dyDescent="0.2">
      <c r="A319">
        <f t="shared" si="4"/>
        <v>736</v>
      </c>
      <c r="B319" t="s">
        <v>371</v>
      </c>
    </row>
    <row r="320" spans="1:2" x14ac:dyDescent="0.2">
      <c r="A320">
        <f t="shared" si="4"/>
        <v>737</v>
      </c>
      <c r="B320" t="s">
        <v>372</v>
      </c>
    </row>
    <row r="321" spans="1:5" x14ac:dyDescent="0.2">
      <c r="A321">
        <f t="shared" si="4"/>
        <v>738</v>
      </c>
      <c r="B321" t="s">
        <v>373</v>
      </c>
    </row>
    <row r="322" spans="1:5" x14ac:dyDescent="0.2">
      <c r="A322">
        <f t="shared" si="4"/>
        <v>739</v>
      </c>
      <c r="B322" t="s">
        <v>374</v>
      </c>
    </row>
    <row r="323" spans="1:5" x14ac:dyDescent="0.2">
      <c r="A323">
        <f t="shared" si="4"/>
        <v>740</v>
      </c>
      <c r="B323" t="s">
        <v>375</v>
      </c>
    </row>
    <row r="324" spans="1:5" x14ac:dyDescent="0.2">
      <c r="A324">
        <f t="shared" si="4"/>
        <v>741</v>
      </c>
      <c r="B324" t="s">
        <v>376</v>
      </c>
    </row>
    <row r="325" spans="1:5" x14ac:dyDescent="0.2">
      <c r="A325">
        <f t="shared" si="4"/>
        <v>742</v>
      </c>
      <c r="B325" t="s">
        <v>377</v>
      </c>
    </row>
    <row r="326" spans="1:5" x14ac:dyDescent="0.2">
      <c r="A326">
        <f>A325+1</f>
        <v>743</v>
      </c>
      <c r="B326" t="s">
        <v>378</v>
      </c>
    </row>
    <row r="327" spans="1:5" x14ac:dyDescent="0.2">
      <c r="A327">
        <f>A326+1</f>
        <v>744</v>
      </c>
      <c r="B327" t="s">
        <v>379</v>
      </c>
    </row>
    <row r="328" spans="1:5" x14ac:dyDescent="0.2">
      <c r="A328">
        <f>A327+1</f>
        <v>745</v>
      </c>
      <c r="B328" t="s">
        <v>380</v>
      </c>
    </row>
    <row r="329" spans="1:5" x14ac:dyDescent="0.2">
      <c r="A329">
        <v>751</v>
      </c>
      <c r="B329" t="s">
        <v>381</v>
      </c>
      <c r="E329" s="11"/>
    </row>
    <row r="330" spans="1:5" x14ac:dyDescent="0.2">
      <c r="A330">
        <f t="shared" ref="A330:A354" si="5">A329+1</f>
        <v>752</v>
      </c>
      <c r="B330" t="s">
        <v>382</v>
      </c>
    </row>
    <row r="331" spans="1:5" x14ac:dyDescent="0.2">
      <c r="A331">
        <f t="shared" si="5"/>
        <v>753</v>
      </c>
      <c r="B331" t="s">
        <v>383</v>
      </c>
    </row>
    <row r="332" spans="1:5" x14ac:dyDescent="0.2">
      <c r="A332">
        <f t="shared" si="5"/>
        <v>754</v>
      </c>
      <c r="B332" t="s">
        <v>384</v>
      </c>
    </row>
    <row r="333" spans="1:5" x14ac:dyDescent="0.2">
      <c r="A333">
        <f t="shared" si="5"/>
        <v>755</v>
      </c>
      <c r="B333" t="s">
        <v>385</v>
      </c>
    </row>
    <row r="334" spans="1:5" x14ac:dyDescent="0.2">
      <c r="A334">
        <f t="shared" si="5"/>
        <v>756</v>
      </c>
      <c r="B334" t="s">
        <v>386</v>
      </c>
    </row>
    <row r="335" spans="1:5" x14ac:dyDescent="0.2">
      <c r="A335">
        <f t="shared" si="5"/>
        <v>757</v>
      </c>
      <c r="B335" t="s">
        <v>387</v>
      </c>
    </row>
    <row r="336" spans="1:5" x14ac:dyDescent="0.2">
      <c r="A336">
        <f t="shared" si="5"/>
        <v>758</v>
      </c>
      <c r="B336" t="s">
        <v>388</v>
      </c>
    </row>
    <row r="337" spans="1:2" x14ac:dyDescent="0.2">
      <c r="A337">
        <f t="shared" si="5"/>
        <v>759</v>
      </c>
      <c r="B337" t="s">
        <v>389</v>
      </c>
    </row>
    <row r="338" spans="1:2" x14ac:dyDescent="0.2">
      <c r="A338">
        <f t="shared" si="5"/>
        <v>760</v>
      </c>
      <c r="B338" t="s">
        <v>390</v>
      </c>
    </row>
    <row r="339" spans="1:2" x14ac:dyDescent="0.2">
      <c r="A339">
        <f t="shared" si="5"/>
        <v>761</v>
      </c>
      <c r="B339" t="s">
        <v>391</v>
      </c>
    </row>
    <row r="340" spans="1:2" x14ac:dyDescent="0.2">
      <c r="A340">
        <f t="shared" si="5"/>
        <v>762</v>
      </c>
      <c r="B340" t="s">
        <v>392</v>
      </c>
    </row>
    <row r="341" spans="1:2" x14ac:dyDescent="0.2">
      <c r="A341">
        <f t="shared" si="5"/>
        <v>763</v>
      </c>
      <c r="B341" t="s">
        <v>393</v>
      </c>
    </row>
    <row r="342" spans="1:2" x14ac:dyDescent="0.2">
      <c r="A342">
        <f t="shared" si="5"/>
        <v>764</v>
      </c>
      <c r="B342" t="s">
        <v>394</v>
      </c>
    </row>
    <row r="343" spans="1:2" x14ac:dyDescent="0.2">
      <c r="A343">
        <f t="shared" si="5"/>
        <v>765</v>
      </c>
      <c r="B343" t="s">
        <v>395</v>
      </c>
    </row>
    <row r="344" spans="1:2" x14ac:dyDescent="0.2">
      <c r="A344">
        <f t="shared" si="5"/>
        <v>766</v>
      </c>
      <c r="B344" t="s">
        <v>396</v>
      </c>
    </row>
    <row r="345" spans="1:2" x14ac:dyDescent="0.2">
      <c r="A345">
        <f t="shared" si="5"/>
        <v>767</v>
      </c>
      <c r="B345" t="s">
        <v>397</v>
      </c>
    </row>
    <row r="346" spans="1:2" x14ac:dyDescent="0.2">
      <c r="A346">
        <f t="shared" si="5"/>
        <v>768</v>
      </c>
      <c r="B346" t="s">
        <v>398</v>
      </c>
    </row>
    <row r="347" spans="1:2" x14ac:dyDescent="0.2">
      <c r="A347">
        <f t="shared" si="5"/>
        <v>769</v>
      </c>
      <c r="B347" t="s">
        <v>399</v>
      </c>
    </row>
    <row r="348" spans="1:2" x14ac:dyDescent="0.2">
      <c r="A348">
        <f t="shared" si="5"/>
        <v>770</v>
      </c>
      <c r="B348" t="s">
        <v>400</v>
      </c>
    </row>
    <row r="349" spans="1:2" x14ac:dyDescent="0.2">
      <c r="A349">
        <f t="shared" si="5"/>
        <v>771</v>
      </c>
      <c r="B349" t="s">
        <v>401</v>
      </c>
    </row>
    <row r="350" spans="1:2" x14ac:dyDescent="0.2">
      <c r="A350">
        <f t="shared" si="5"/>
        <v>772</v>
      </c>
      <c r="B350" t="s">
        <v>402</v>
      </c>
    </row>
    <row r="351" spans="1:2" x14ac:dyDescent="0.2">
      <c r="A351">
        <f t="shared" si="5"/>
        <v>773</v>
      </c>
      <c r="B351" t="s">
        <v>403</v>
      </c>
    </row>
    <row r="352" spans="1:2" x14ac:dyDescent="0.2">
      <c r="A352">
        <f t="shared" si="5"/>
        <v>774</v>
      </c>
      <c r="B352" t="s">
        <v>404</v>
      </c>
    </row>
    <row r="353" spans="1:2" x14ac:dyDescent="0.2">
      <c r="A353">
        <f t="shared" si="5"/>
        <v>775</v>
      </c>
      <c r="B353" t="s">
        <v>405</v>
      </c>
    </row>
    <row r="354" spans="1:2" x14ac:dyDescent="0.2">
      <c r="A354">
        <f t="shared" si="5"/>
        <v>776</v>
      </c>
      <c r="B354" t="s">
        <v>406</v>
      </c>
    </row>
    <row r="355" spans="1:2" x14ac:dyDescent="0.2">
      <c r="A355">
        <v>781</v>
      </c>
      <c r="B355" s="11" t="s">
        <v>443</v>
      </c>
    </row>
    <row r="356" spans="1:2" x14ac:dyDescent="0.2">
      <c r="A356">
        <v>782</v>
      </c>
      <c r="B356" s="11" t="s">
        <v>444</v>
      </c>
    </row>
    <row r="357" spans="1:2" x14ac:dyDescent="0.2">
      <c r="A357">
        <v>783</v>
      </c>
      <c r="B357" s="11" t="s">
        <v>445</v>
      </c>
    </row>
    <row r="358" spans="1:2" x14ac:dyDescent="0.2">
      <c r="A358">
        <v>784</v>
      </c>
      <c r="B358" s="11" t="s">
        <v>446</v>
      </c>
    </row>
    <row r="359" spans="1:2" x14ac:dyDescent="0.2">
      <c r="A359">
        <v>785</v>
      </c>
      <c r="B359" s="11" t="s">
        <v>447</v>
      </c>
    </row>
    <row r="360" spans="1:2" x14ac:dyDescent="0.2">
      <c r="A360">
        <v>786</v>
      </c>
      <c r="B360" s="11" t="s">
        <v>448</v>
      </c>
    </row>
    <row r="361" spans="1:2" x14ac:dyDescent="0.2">
      <c r="A361">
        <v>787</v>
      </c>
      <c r="B361" s="11" t="s">
        <v>449</v>
      </c>
    </row>
    <row r="362" spans="1:2" x14ac:dyDescent="0.2">
      <c r="A362">
        <v>788</v>
      </c>
      <c r="B362" s="11" t="s">
        <v>450</v>
      </c>
    </row>
    <row r="363" spans="1:2" x14ac:dyDescent="0.2">
      <c r="A363">
        <v>789</v>
      </c>
      <c r="B363" s="11" t="s">
        <v>451</v>
      </c>
    </row>
    <row r="364" spans="1:2" x14ac:dyDescent="0.2">
      <c r="A364">
        <v>790</v>
      </c>
      <c r="B364" s="11" t="s">
        <v>452</v>
      </c>
    </row>
    <row r="365" spans="1:2" x14ac:dyDescent="0.2">
      <c r="A365">
        <v>791</v>
      </c>
      <c r="B365" s="11" t="s">
        <v>453</v>
      </c>
    </row>
    <row r="366" spans="1:2" x14ac:dyDescent="0.2">
      <c r="A366">
        <v>792</v>
      </c>
      <c r="B366" s="11" t="s">
        <v>454</v>
      </c>
    </row>
    <row r="367" spans="1:2" x14ac:dyDescent="0.2">
      <c r="A367">
        <f>A366+1</f>
        <v>793</v>
      </c>
      <c r="B367" s="11" t="s">
        <v>455</v>
      </c>
    </row>
    <row r="368" spans="1:2" x14ac:dyDescent="0.2">
      <c r="A368">
        <f t="shared" ref="A368:A381" si="6">A367+1</f>
        <v>794</v>
      </c>
      <c r="B368" s="11" t="s">
        <v>456</v>
      </c>
    </row>
    <row r="369" spans="1:2" x14ac:dyDescent="0.2">
      <c r="A369">
        <f t="shared" si="6"/>
        <v>795</v>
      </c>
      <c r="B369" s="11" t="s">
        <v>457</v>
      </c>
    </row>
    <row r="370" spans="1:2" x14ac:dyDescent="0.2">
      <c r="A370">
        <f t="shared" si="6"/>
        <v>796</v>
      </c>
      <c r="B370" s="11" t="s">
        <v>458</v>
      </c>
    </row>
    <row r="371" spans="1:2" x14ac:dyDescent="0.2">
      <c r="A371">
        <f t="shared" si="6"/>
        <v>797</v>
      </c>
      <c r="B371" s="11" t="s">
        <v>459</v>
      </c>
    </row>
    <row r="372" spans="1:2" x14ac:dyDescent="0.2">
      <c r="A372">
        <f t="shared" si="6"/>
        <v>798</v>
      </c>
      <c r="B372" s="11" t="s">
        <v>460</v>
      </c>
    </row>
    <row r="373" spans="1:2" x14ac:dyDescent="0.2">
      <c r="A373">
        <f t="shared" si="6"/>
        <v>799</v>
      </c>
      <c r="B373" s="11" t="s">
        <v>461</v>
      </c>
    </row>
    <row r="374" spans="1:2" x14ac:dyDescent="0.2">
      <c r="A374">
        <f t="shared" si="6"/>
        <v>800</v>
      </c>
      <c r="B374" s="11" t="s">
        <v>462</v>
      </c>
    </row>
    <row r="375" spans="1:2" x14ac:dyDescent="0.2">
      <c r="A375">
        <f t="shared" si="6"/>
        <v>801</v>
      </c>
      <c r="B375" s="11" t="s">
        <v>463</v>
      </c>
    </row>
    <row r="376" spans="1:2" x14ac:dyDescent="0.2">
      <c r="A376">
        <f t="shared" si="6"/>
        <v>802</v>
      </c>
      <c r="B376" s="11" t="s">
        <v>464</v>
      </c>
    </row>
    <row r="377" spans="1:2" x14ac:dyDescent="0.2">
      <c r="A377">
        <f t="shared" si="6"/>
        <v>803</v>
      </c>
      <c r="B377" s="11" t="s">
        <v>465</v>
      </c>
    </row>
    <row r="378" spans="1:2" x14ac:dyDescent="0.2">
      <c r="A378">
        <f t="shared" si="6"/>
        <v>804</v>
      </c>
      <c r="B378" s="11" t="s">
        <v>466</v>
      </c>
    </row>
    <row r="379" spans="1:2" x14ac:dyDescent="0.2">
      <c r="A379">
        <f t="shared" si="6"/>
        <v>805</v>
      </c>
      <c r="B379" s="11" t="s">
        <v>467</v>
      </c>
    </row>
    <row r="380" spans="1:2" x14ac:dyDescent="0.2">
      <c r="A380">
        <f t="shared" si="6"/>
        <v>806</v>
      </c>
      <c r="B380" s="11" t="s">
        <v>468</v>
      </c>
    </row>
    <row r="381" spans="1:2" x14ac:dyDescent="0.2">
      <c r="A381">
        <f t="shared" si="6"/>
        <v>807</v>
      </c>
      <c r="B381" s="11" t="s">
        <v>469</v>
      </c>
    </row>
  </sheetData>
  <phoneticPr fontId="2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89"/>
  <sheetViews>
    <sheetView workbookViewId="0"/>
  </sheetViews>
  <sheetFormatPr defaultRowHeight="12.75" x14ac:dyDescent="0.2"/>
  <cols>
    <col min="2" max="3" width="9.28515625" bestFit="1" customWidth="1"/>
    <col min="4" max="4" width="12.5703125" bestFit="1" customWidth="1"/>
    <col min="5" max="6" width="9.28515625" bestFit="1" customWidth="1"/>
    <col min="8" max="9" width="9.28515625" bestFit="1" customWidth="1"/>
    <col min="10" max="10" width="12.5703125" bestFit="1" customWidth="1"/>
    <col min="11" max="11" width="12.42578125" bestFit="1" customWidth="1"/>
    <col min="12" max="36" width="9.28515625" bestFit="1" customWidth="1"/>
    <col min="37" max="37" width="12.42578125" bestFit="1" customWidth="1"/>
  </cols>
  <sheetData>
    <row r="1" spans="1:52" s="10" customFormat="1" x14ac:dyDescent="0.2">
      <c r="A1" s="140" t="s">
        <v>10</v>
      </c>
      <c r="B1" s="140" t="s">
        <v>42</v>
      </c>
      <c r="C1" s="140" t="s">
        <v>1</v>
      </c>
      <c r="D1" s="140" t="s">
        <v>2</v>
      </c>
      <c r="E1" s="140" t="s">
        <v>5</v>
      </c>
      <c r="F1" s="140" t="s">
        <v>11</v>
      </c>
      <c r="G1" s="140"/>
      <c r="H1" s="140"/>
      <c r="I1" s="140"/>
      <c r="J1" s="140"/>
      <c r="K1" s="140">
        <v>0</v>
      </c>
      <c r="L1" s="140">
        <f>K1+1</f>
        <v>1</v>
      </c>
      <c r="M1" s="140">
        <f t="shared" ref="M1:AJ1" si="0">L1+1</f>
        <v>2</v>
      </c>
      <c r="N1" s="11">
        <f t="shared" si="0"/>
        <v>3</v>
      </c>
      <c r="O1" s="11">
        <f t="shared" si="0"/>
        <v>4</v>
      </c>
      <c r="P1" s="11">
        <f t="shared" si="0"/>
        <v>5</v>
      </c>
      <c r="Q1" s="11">
        <f t="shared" si="0"/>
        <v>6</v>
      </c>
      <c r="R1" s="11">
        <f t="shared" si="0"/>
        <v>7</v>
      </c>
      <c r="S1" s="11">
        <f t="shared" si="0"/>
        <v>8</v>
      </c>
      <c r="T1" s="11">
        <f t="shared" si="0"/>
        <v>9</v>
      </c>
      <c r="U1" s="11">
        <f t="shared" si="0"/>
        <v>10</v>
      </c>
      <c r="V1" s="11">
        <f t="shared" si="0"/>
        <v>11</v>
      </c>
      <c r="W1" s="11">
        <f t="shared" si="0"/>
        <v>12</v>
      </c>
      <c r="X1" s="11">
        <f t="shared" si="0"/>
        <v>13</v>
      </c>
      <c r="Y1" s="11">
        <f t="shared" si="0"/>
        <v>14</v>
      </c>
      <c r="Z1" s="11">
        <f t="shared" si="0"/>
        <v>15</v>
      </c>
      <c r="AA1" s="11">
        <f t="shared" si="0"/>
        <v>16</v>
      </c>
      <c r="AB1" s="11">
        <f t="shared" si="0"/>
        <v>17</v>
      </c>
      <c r="AC1" s="11">
        <f t="shared" si="0"/>
        <v>18</v>
      </c>
      <c r="AD1" s="11">
        <f t="shared" si="0"/>
        <v>19</v>
      </c>
      <c r="AE1" s="11">
        <f t="shared" si="0"/>
        <v>20</v>
      </c>
      <c r="AF1" s="11">
        <f t="shared" si="0"/>
        <v>21</v>
      </c>
      <c r="AG1" s="11">
        <f t="shared" si="0"/>
        <v>22</v>
      </c>
      <c r="AH1" s="11">
        <f t="shared" si="0"/>
        <v>23</v>
      </c>
      <c r="AI1" s="11">
        <f t="shared" si="0"/>
        <v>24</v>
      </c>
      <c r="AJ1" s="11">
        <f t="shared" si="0"/>
        <v>25</v>
      </c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</row>
    <row r="2" spans="1:52" s="10" customFormat="1" x14ac:dyDescent="0.2">
      <c r="A2" s="140"/>
      <c r="B2" s="141">
        <f>Inputs!$C$32</f>
        <v>26</v>
      </c>
      <c r="C2" s="142">
        <f>1/D2</f>
        <v>1.0447376961940817</v>
      </c>
      <c r="D2" s="140">
        <f>Inputs!C37</f>
        <v>0.95717805880168916</v>
      </c>
      <c r="E2" s="143">
        <f>Inputs!$C$54</f>
        <v>1.000661784781395</v>
      </c>
      <c r="F2" s="140">
        <v>0.5</v>
      </c>
      <c r="G2" s="140"/>
      <c r="H2" s="140"/>
      <c r="I2" s="140"/>
      <c r="J2" s="140"/>
      <c r="K2" s="140"/>
      <c r="L2" s="140"/>
      <c r="M2" s="140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</row>
    <row r="3" spans="1:52" s="10" customFormat="1" x14ac:dyDescent="0.2">
      <c r="A3" s="140"/>
      <c r="B3" s="141"/>
      <c r="C3" s="142"/>
      <c r="D3" s="140"/>
      <c r="E3" s="143"/>
      <c r="F3" s="140"/>
      <c r="G3" s="140"/>
      <c r="H3" s="140"/>
      <c r="I3" s="140"/>
      <c r="J3" s="140"/>
      <c r="K3" s="140" t="s">
        <v>48</v>
      </c>
      <c r="L3" s="140" t="s">
        <v>49</v>
      </c>
      <c r="M3" s="140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</row>
    <row r="4" spans="1:52" s="10" customFormat="1" x14ac:dyDescent="0.2">
      <c r="A4" s="140"/>
      <c r="B4" s="140" t="s">
        <v>0</v>
      </c>
      <c r="C4" s="144" t="s">
        <v>41</v>
      </c>
      <c r="D4" s="140"/>
      <c r="E4" s="140" t="s">
        <v>44</v>
      </c>
      <c r="F4" s="140" t="s">
        <v>45</v>
      </c>
      <c r="G4" s="140"/>
      <c r="H4" s="140" t="s">
        <v>46</v>
      </c>
      <c r="I4" s="140" t="s">
        <v>47</v>
      </c>
      <c r="J4" s="140" t="s">
        <v>44</v>
      </c>
      <c r="K4" s="140" t="s">
        <v>43</v>
      </c>
      <c r="L4" s="140"/>
      <c r="M4" s="140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</row>
    <row r="5" spans="1:52" s="10" customFormat="1" x14ac:dyDescent="0.2">
      <c r="A5" s="140"/>
      <c r="B5" s="140">
        <v>0</v>
      </c>
      <c r="C5" s="144">
        <f t="shared" ref="C5:C31" si="1">IF($B5="","",FACT($B$2)/(FACT(B5)*FACT($B$2-B5)))</f>
        <v>1</v>
      </c>
      <c r="D5" s="140">
        <f>IF($B5="","",C5/SUM(C$5:C$31))</f>
        <v>1.4901161193847656E-8</v>
      </c>
      <c r="E5" s="140">
        <f t="shared" ref="E5:E10" si="2">IF($B5="","",C5*(F$2^B5*(1-F$2)^(B$2-B5)))</f>
        <v>1.4901161193847656E-8</v>
      </c>
      <c r="F5" s="140">
        <f t="shared" ref="F5:F31" si="3">IF($B5="","",C$2^B5*D$2^(B$2-B5))</f>
        <v>0.32048750718072222</v>
      </c>
      <c r="G5" s="140"/>
      <c r="H5" s="141">
        <f>100*(I5)-100</f>
        <v>-67.951249281927772</v>
      </c>
      <c r="I5" s="140">
        <f>F5</f>
        <v>0.32048750718072222</v>
      </c>
      <c r="J5" s="143">
        <f>100*SUM(K5:AJ5)</f>
        <v>4.0233135223388685E-5</v>
      </c>
      <c r="K5" s="140">
        <f>$E5</f>
        <v>1.4901161193847656E-8</v>
      </c>
      <c r="L5" s="140">
        <f t="shared" ref="L5:L36" si="4">IF(L$1&gt;$B$2-1,"",IF(SIGN($F$6-$I5)=SIGN($F$6-$I6),"",$E$6))</f>
        <v>3.8743019104003917E-7</v>
      </c>
      <c r="M5" s="140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</row>
    <row r="6" spans="1:52" s="10" customFormat="1" x14ac:dyDescent="0.2">
      <c r="A6" s="140"/>
      <c r="B6" s="140">
        <f t="shared" ref="B6:B11" si="5">IF(B5&lt;$B$2,IF(B5="","",B5+1),"")</f>
        <v>1</v>
      </c>
      <c r="C6" s="144">
        <f t="shared" si="1"/>
        <v>26.000000000000007</v>
      </c>
      <c r="D6" s="140">
        <f t="shared" ref="D6:D31" si="6">IF($B6="","",C6/SUM(C$5:C$31))</f>
        <v>3.8743019104003917E-7</v>
      </c>
      <c r="E6" s="140">
        <f t="shared" si="2"/>
        <v>3.8743019104003917E-7</v>
      </c>
      <c r="F6" s="140">
        <f t="shared" si="3"/>
        <v>0.34980469603549696</v>
      </c>
      <c r="G6" s="140"/>
      <c r="H6" s="141">
        <f t="shared" ref="H6:H65" si="7">100*(I6)-100</f>
        <v>-63.284984411291653</v>
      </c>
      <c r="I6" s="140">
        <f t="shared" ref="I6:I37" si="8">I5+(MAX(F$5:F$31)-F$5)/60</f>
        <v>0.3671501558870835</v>
      </c>
      <c r="J6" s="143">
        <f t="shared" ref="J6:J65" si="9">100*SUM(K6:AJ6)</f>
        <v>4.8428773880004894E-4</v>
      </c>
      <c r="K6" s="140"/>
      <c r="L6" s="140" t="str">
        <f t="shared" si="4"/>
        <v/>
      </c>
      <c r="M6" s="140">
        <f t="shared" ref="M6:M37" si="10">IF(M$1&gt;$B$2,"",IF(SIGN($F$7-$I6)=SIGN($F$7-$I7),"",$E$7))</f>
        <v>4.8428773880004891E-6</v>
      </c>
      <c r="N6" s="11" t="str">
        <f t="shared" ref="N6:N37" si="11">IF(N$1&gt;$B$2-1,"",IF(SIGN($F$8-$I6)=SIGN($F$8-$I7),"",$E$8))</f>
        <v/>
      </c>
      <c r="O6" s="11" t="str">
        <f t="shared" ref="O6:O37" si="12">IF(O$1&gt;$B$2,"",IF(SIGN($F$9-$I6)=SIGN($F$9-$I7),"",$E$9))</f>
        <v/>
      </c>
      <c r="P6" s="11" t="str">
        <f t="shared" ref="P6:P37" si="13">IF(P$1&gt;$B$2,"",IF(SIGN($F$10-$I6)=SIGN($F$10-$I7),"",$E$10))</f>
        <v/>
      </c>
      <c r="Q6" s="11" t="str">
        <f t="shared" ref="Q6:Q37" si="14">IF(Q$1&gt;$B$2-1,"",IF(SIGN($F$11-$I6)=SIGN($F$11-$I7),"",$E$11))</f>
        <v/>
      </c>
      <c r="R6" s="11" t="str">
        <f t="shared" ref="R6:R37" si="15">IF(R$1&gt;$B$2-1,"",IF(SIGN($F$12-$I6)=SIGN($F$12-$I7),"",$E$12))</f>
        <v/>
      </c>
      <c r="S6" s="11" t="str">
        <f t="shared" ref="S6:S37" si="16">IF(S$1&gt;$B$2-1,"",IF(SIGN($F$13-$I6)=SIGN($F$13-$I7),"",$E$13))</f>
        <v/>
      </c>
      <c r="T6" s="11" t="str">
        <f t="shared" ref="T6:T37" si="17">IF(T$1&gt;$B$2-1,"",IF(SIGN($F$14-$I6)=SIGN($F$14-$I7),"",$E$14))</f>
        <v/>
      </c>
      <c r="U6" s="11" t="str">
        <f t="shared" ref="U6:U37" si="18">IF(U$1&gt;$B$2-1,"",IF(SIGN($F$16-$I6)=SIGN($F$16-$I7),"",$E$16))</f>
        <v/>
      </c>
      <c r="V6" s="11" t="str">
        <f t="shared" ref="V6:V37" si="19">IF(V$1&gt;$B$2-1,"",IF(SIGN($F$17-$I6)=SIGN($F$17-$I7),"",$E$17))</f>
        <v/>
      </c>
      <c r="W6" s="11" t="str">
        <f t="shared" ref="W6:W37" si="20">IF(W$1&gt;$B$2-1,"",IF(SIGN($F$18-$I6)=SIGN($F$18-$I7),"",$E$18))</f>
        <v/>
      </c>
      <c r="X6" s="11" t="str">
        <f t="shared" ref="X6:X37" si="21">IF(X$1&gt;$B$2-1,"",IF(SIGN($F$19-$I6)=SIGN($F$19-$I7),"",$E$19))</f>
        <v/>
      </c>
      <c r="Y6" s="11" t="str">
        <f t="shared" ref="Y6:Y37" si="22">IF(Y$1&gt;$B$2-1,"",IF(SIGN($F$20-$I6)=SIGN($F$20-$I7),"",$E$20))</f>
        <v/>
      </c>
      <c r="Z6" s="11" t="str">
        <f t="shared" ref="Z6:Z37" si="23">IF(Z$1&gt;$B$2-1,"",IF(SIGN($F$21-$I6)=SIGN($F$21-$I7),"",$E$21))</f>
        <v/>
      </c>
      <c r="AA6" s="11" t="str">
        <f t="shared" ref="AA6:AA37" si="24">IF(AA$1&gt;$B$2-1,"",IF(SIGN($F$22-$I6)=SIGN($F$22-$I7),"",$E$22))</f>
        <v/>
      </c>
      <c r="AB6" s="11" t="str">
        <f t="shared" ref="AB6:AB37" si="25">IF(AB$1&gt;$B$2-1,"",IF(SIGN($F$23-$I6)=SIGN($F$23-$I7),"",$E$23))</f>
        <v/>
      </c>
      <c r="AC6" s="11" t="str">
        <f t="shared" ref="AC6:AC37" si="26">IF(AC$1&gt;$B$2-1,"",IF(SIGN($F$24-$I6)=SIGN($F$24-$I7),"",$E$24))</f>
        <v/>
      </c>
      <c r="AD6" s="11" t="str">
        <f t="shared" ref="AD6:AD37" si="27">IF(AD$1&gt;$B$2-1,"",IF(SIGN($F$25-$I6)=SIGN($F$25-$I7),"",$E$25))</f>
        <v/>
      </c>
      <c r="AE6" s="11" t="str">
        <f t="shared" ref="AE6:AE37" si="28">IF(AE$1&gt;$B$2-1,"",IF(SIGN($F$26-$I6)=SIGN($F$26-$I7),"",$E$26))</f>
        <v/>
      </c>
      <c r="AF6" s="11" t="str">
        <f t="shared" ref="AF6:AF37" si="29">IF(AF$1&gt;$B$2-1,"",IF(SIGN($F$27-$I6)=SIGN($F$27-$I7),"",$E$27))</f>
        <v/>
      </c>
      <c r="AG6" s="11" t="str">
        <f t="shared" ref="AG6:AG37" si="30">IF(AG$1&gt;$B$2-1,"",IF(SIGN($F$28-$I6)=SIGN($F$28-$I7),"",$E$28))</f>
        <v/>
      </c>
      <c r="AH6" s="11" t="str">
        <f t="shared" ref="AH6:AH37" si="31">IF(AH$1&gt;$B$2-1,"",IF(SIGN($F$29-$I6)=SIGN($F$29-$I7),"",$E$29))</f>
        <v/>
      </c>
      <c r="AI6" s="11" t="str">
        <f t="shared" ref="AI6:AI37" si="32">IF(AI$1&gt;$B$2-1,"",IF(SIGN($F$30-$I6)=SIGN($F$30-$I7),"",$E$30))</f>
        <v/>
      </c>
      <c r="AJ6" s="11" t="str">
        <f t="shared" ref="AJ6:AJ37" si="33">IF(AJ$1&gt;$B$2-1,"",IF(SIGN($F$31-$I6)=SIGN($F$31-$I7),"",$E$31))</f>
        <v/>
      </c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</row>
    <row r="7" spans="1:52" s="10" customFormat="1" x14ac:dyDescent="0.2">
      <c r="A7" s="140"/>
      <c r="B7" s="140">
        <f t="shared" si="5"/>
        <v>2</v>
      </c>
      <c r="C7" s="144">
        <f t="shared" si="1"/>
        <v>325.00000000000006</v>
      </c>
      <c r="D7" s="140">
        <f t="shared" si="6"/>
        <v>4.8428773880004891E-6</v>
      </c>
      <c r="E7" s="140">
        <f t="shared" si="2"/>
        <v>4.8428773880004891E-6</v>
      </c>
      <c r="F7" s="140">
        <f t="shared" si="3"/>
        <v>0.38180372909040111</v>
      </c>
      <c r="G7" s="140"/>
      <c r="H7" s="141">
        <f t="shared" si="7"/>
        <v>-58.618719540655526</v>
      </c>
      <c r="I7" s="140">
        <f t="shared" si="8"/>
        <v>0.41381280459344477</v>
      </c>
      <c r="J7" s="143">
        <f t="shared" si="9"/>
        <v>2.6151537895202644E-2</v>
      </c>
      <c r="K7" s="140"/>
      <c r="L7" s="140" t="str">
        <f t="shared" si="4"/>
        <v/>
      </c>
      <c r="M7" s="140" t="str">
        <f t="shared" si="10"/>
        <v/>
      </c>
      <c r="N7" s="11">
        <f t="shared" si="11"/>
        <v>3.8743019104003913E-5</v>
      </c>
      <c r="O7" s="11">
        <f t="shared" si="12"/>
        <v>2.2277235984802252E-4</v>
      </c>
      <c r="P7" s="11" t="str">
        <f t="shared" si="13"/>
        <v/>
      </c>
      <c r="Q7" s="11" t="str">
        <f t="shared" si="14"/>
        <v/>
      </c>
      <c r="R7" s="11" t="str">
        <f t="shared" si="15"/>
        <v/>
      </c>
      <c r="S7" s="11" t="str">
        <f t="shared" si="16"/>
        <v/>
      </c>
      <c r="T7" s="11" t="str">
        <f t="shared" si="17"/>
        <v/>
      </c>
      <c r="U7" s="11" t="str">
        <f t="shared" si="18"/>
        <v/>
      </c>
      <c r="V7" s="11" t="str">
        <f t="shared" si="19"/>
        <v/>
      </c>
      <c r="W7" s="11" t="str">
        <f t="shared" si="20"/>
        <v/>
      </c>
      <c r="X7" s="11" t="str">
        <f t="shared" si="21"/>
        <v/>
      </c>
      <c r="Y7" s="11" t="str">
        <f t="shared" si="22"/>
        <v/>
      </c>
      <c r="Z7" s="11" t="str">
        <f t="shared" si="23"/>
        <v/>
      </c>
      <c r="AA7" s="11" t="str">
        <f t="shared" si="24"/>
        <v/>
      </c>
      <c r="AB7" s="11" t="str">
        <f t="shared" si="25"/>
        <v/>
      </c>
      <c r="AC7" s="11" t="str">
        <f t="shared" si="26"/>
        <v/>
      </c>
      <c r="AD7" s="11" t="str">
        <f t="shared" si="27"/>
        <v/>
      </c>
      <c r="AE7" s="11" t="str">
        <f t="shared" si="28"/>
        <v/>
      </c>
      <c r="AF7" s="11" t="str">
        <f t="shared" si="29"/>
        <v/>
      </c>
      <c r="AG7" s="11" t="str">
        <f t="shared" si="30"/>
        <v/>
      </c>
      <c r="AH7" s="11" t="str">
        <f t="shared" si="31"/>
        <v/>
      </c>
      <c r="AI7" s="11" t="str">
        <f t="shared" si="32"/>
        <v/>
      </c>
      <c r="AJ7" s="11" t="str">
        <f t="shared" si="33"/>
        <v/>
      </c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</row>
    <row r="8" spans="1:52" s="10" customFormat="1" x14ac:dyDescent="0.2">
      <c r="A8" s="140"/>
      <c r="B8" s="140">
        <f t="shared" si="5"/>
        <v>3</v>
      </c>
      <c r="C8" s="144">
        <f t="shared" si="1"/>
        <v>2600.0000000000005</v>
      </c>
      <c r="D8" s="140">
        <f t="shared" si="6"/>
        <v>3.8743019104003913E-5</v>
      </c>
      <c r="E8" s="140">
        <f t="shared" si="2"/>
        <v>3.8743019104003913E-5</v>
      </c>
      <c r="F8" s="140">
        <f t="shared" si="3"/>
        <v>0.41672993301537536</v>
      </c>
      <c r="G8" s="140"/>
      <c r="H8" s="141">
        <f t="shared" si="7"/>
        <v>-53.952454670019392</v>
      </c>
      <c r="I8" s="140">
        <f t="shared" si="8"/>
        <v>0.46047545329980605</v>
      </c>
      <c r="J8" s="143">
        <f t="shared" si="9"/>
        <v>9.8019838333129911E-2</v>
      </c>
      <c r="K8" s="140"/>
      <c r="L8" s="140" t="str">
        <f t="shared" si="4"/>
        <v/>
      </c>
      <c r="M8" s="140" t="str">
        <f t="shared" si="10"/>
        <v/>
      </c>
      <c r="N8" s="11" t="str">
        <f t="shared" si="11"/>
        <v/>
      </c>
      <c r="O8" s="11" t="str">
        <f t="shared" si="12"/>
        <v/>
      </c>
      <c r="P8" s="11">
        <f t="shared" si="13"/>
        <v>9.8019838333129904E-4</v>
      </c>
      <c r="Q8" s="11" t="str">
        <f t="shared" si="14"/>
        <v/>
      </c>
      <c r="R8" s="11" t="str">
        <f t="shared" si="15"/>
        <v/>
      </c>
      <c r="S8" s="11" t="str">
        <f t="shared" si="16"/>
        <v/>
      </c>
      <c r="T8" s="11" t="str">
        <f t="shared" si="17"/>
        <v/>
      </c>
      <c r="U8" s="11" t="str">
        <f t="shared" si="18"/>
        <v/>
      </c>
      <c r="V8" s="11" t="str">
        <f t="shared" si="19"/>
        <v/>
      </c>
      <c r="W8" s="11" t="str">
        <f t="shared" si="20"/>
        <v/>
      </c>
      <c r="X8" s="11" t="str">
        <f t="shared" si="21"/>
        <v/>
      </c>
      <c r="Y8" s="11" t="str">
        <f t="shared" si="22"/>
        <v/>
      </c>
      <c r="Z8" s="11" t="str">
        <f t="shared" si="23"/>
        <v/>
      </c>
      <c r="AA8" s="11" t="str">
        <f t="shared" si="24"/>
        <v/>
      </c>
      <c r="AB8" s="11" t="str">
        <f t="shared" si="25"/>
        <v/>
      </c>
      <c r="AC8" s="11" t="str">
        <f t="shared" si="26"/>
        <v/>
      </c>
      <c r="AD8" s="11" t="str">
        <f t="shared" si="27"/>
        <v/>
      </c>
      <c r="AE8" s="11" t="str">
        <f t="shared" si="28"/>
        <v/>
      </c>
      <c r="AF8" s="11" t="str">
        <f t="shared" si="29"/>
        <v/>
      </c>
      <c r="AG8" s="11" t="str">
        <f t="shared" si="30"/>
        <v/>
      </c>
      <c r="AH8" s="11" t="str">
        <f t="shared" si="31"/>
        <v/>
      </c>
      <c r="AI8" s="11" t="str">
        <f t="shared" si="32"/>
        <v/>
      </c>
      <c r="AJ8" s="11" t="str">
        <f t="shared" si="33"/>
        <v/>
      </c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</row>
    <row r="9" spans="1:52" s="10" customFormat="1" x14ac:dyDescent="0.2">
      <c r="A9" s="140"/>
      <c r="B9" s="140">
        <f t="shared" si="5"/>
        <v>4</v>
      </c>
      <c r="C9" s="144">
        <f t="shared" si="1"/>
        <v>14950.000000000004</v>
      </c>
      <c r="D9" s="140">
        <f t="shared" si="6"/>
        <v>2.2277235984802252E-4</v>
      </c>
      <c r="E9" s="140">
        <f t="shared" si="2"/>
        <v>2.2277235984802252E-4</v>
      </c>
      <c r="F9" s="140">
        <f t="shared" si="3"/>
        <v>0.45485107619229198</v>
      </c>
      <c r="G9" s="140"/>
      <c r="H9" s="141">
        <f t="shared" si="7"/>
        <v>-49.286189799383273</v>
      </c>
      <c r="I9" s="140">
        <f t="shared" si="8"/>
        <v>0.50713810200616727</v>
      </c>
      <c r="J9" s="143">
        <f t="shared" si="9"/>
        <v>0.3430694341659547</v>
      </c>
      <c r="K9" s="140"/>
      <c r="L9" s="140" t="str">
        <f t="shared" si="4"/>
        <v/>
      </c>
      <c r="M9" s="140" t="str">
        <f t="shared" si="10"/>
        <v/>
      </c>
      <c r="N9" s="11" t="str">
        <f t="shared" si="11"/>
        <v/>
      </c>
      <c r="O9" s="11" t="str">
        <f t="shared" si="12"/>
        <v/>
      </c>
      <c r="P9" s="11" t="str">
        <f t="shared" si="13"/>
        <v/>
      </c>
      <c r="Q9" s="11">
        <f t="shared" si="14"/>
        <v>3.4306943416595468E-3</v>
      </c>
      <c r="R9" s="11" t="str">
        <f t="shared" si="15"/>
        <v/>
      </c>
      <c r="S9" s="11" t="str">
        <f t="shared" si="16"/>
        <v/>
      </c>
      <c r="T9" s="11" t="str">
        <f t="shared" si="17"/>
        <v/>
      </c>
      <c r="U9" s="11" t="str">
        <f t="shared" si="18"/>
        <v/>
      </c>
      <c r="V9" s="11" t="str">
        <f t="shared" si="19"/>
        <v/>
      </c>
      <c r="W9" s="11" t="str">
        <f t="shared" si="20"/>
        <v/>
      </c>
      <c r="X9" s="11" t="str">
        <f t="shared" si="21"/>
        <v/>
      </c>
      <c r="Y9" s="11" t="str">
        <f t="shared" si="22"/>
        <v/>
      </c>
      <c r="Z9" s="11" t="str">
        <f t="shared" si="23"/>
        <v/>
      </c>
      <c r="AA9" s="11" t="str">
        <f t="shared" si="24"/>
        <v/>
      </c>
      <c r="AB9" s="11" t="str">
        <f t="shared" si="25"/>
        <v/>
      </c>
      <c r="AC9" s="11" t="str">
        <f t="shared" si="26"/>
        <v/>
      </c>
      <c r="AD9" s="11" t="str">
        <f t="shared" si="27"/>
        <v/>
      </c>
      <c r="AE9" s="11" t="str">
        <f t="shared" si="28"/>
        <v/>
      </c>
      <c r="AF9" s="11" t="str">
        <f t="shared" si="29"/>
        <v/>
      </c>
      <c r="AG9" s="11" t="str">
        <f t="shared" si="30"/>
        <v/>
      </c>
      <c r="AH9" s="11" t="str">
        <f t="shared" si="31"/>
        <v/>
      </c>
      <c r="AI9" s="11" t="str">
        <f t="shared" si="32"/>
        <v/>
      </c>
      <c r="AJ9" s="11" t="str">
        <f t="shared" si="33"/>
        <v/>
      </c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</row>
    <row r="10" spans="1:52" s="10" customFormat="1" x14ac:dyDescent="0.2">
      <c r="A10" s="140"/>
      <c r="B10" s="140">
        <f t="shared" si="5"/>
        <v>5</v>
      </c>
      <c r="C10" s="142">
        <f t="shared" si="1"/>
        <v>65780.000000000015</v>
      </c>
      <c r="D10" s="140">
        <f t="shared" si="6"/>
        <v>9.8019838333129904E-4</v>
      </c>
      <c r="E10" s="140">
        <f t="shared" si="2"/>
        <v>9.8019838333129904E-4</v>
      </c>
      <c r="F10" s="140">
        <f t="shared" si="3"/>
        <v>0.496459421612157</v>
      </c>
      <c r="G10" s="140"/>
      <c r="H10" s="141">
        <f t="shared" si="7"/>
        <v>-44.619924928747146</v>
      </c>
      <c r="I10" s="140">
        <f t="shared" si="8"/>
        <v>0.55380075071252854</v>
      </c>
      <c r="J10" s="143">
        <f t="shared" si="9"/>
        <v>0.98019838333129905</v>
      </c>
      <c r="K10" s="140"/>
      <c r="L10" s="140" t="str">
        <f t="shared" si="4"/>
        <v/>
      </c>
      <c r="M10" s="140" t="str">
        <f t="shared" si="10"/>
        <v/>
      </c>
      <c r="N10" s="11" t="str">
        <f t="shared" si="11"/>
        <v/>
      </c>
      <c r="O10" s="11" t="str">
        <f t="shared" si="12"/>
        <v/>
      </c>
      <c r="P10" s="11" t="str">
        <f t="shared" si="13"/>
        <v/>
      </c>
      <c r="Q10" s="11" t="str">
        <f t="shared" si="14"/>
        <v/>
      </c>
      <c r="R10" s="11">
        <f t="shared" si="15"/>
        <v>9.80198383331299E-3</v>
      </c>
      <c r="S10" s="11" t="str">
        <f t="shared" si="16"/>
        <v/>
      </c>
      <c r="T10" s="11" t="str">
        <f t="shared" si="17"/>
        <v/>
      </c>
      <c r="U10" s="11" t="str">
        <f t="shared" si="18"/>
        <v/>
      </c>
      <c r="V10" s="11" t="str">
        <f t="shared" si="19"/>
        <v/>
      </c>
      <c r="W10" s="11" t="str">
        <f t="shared" si="20"/>
        <v/>
      </c>
      <c r="X10" s="11" t="str">
        <f t="shared" si="21"/>
        <v/>
      </c>
      <c r="Y10" s="11" t="str">
        <f t="shared" si="22"/>
        <v/>
      </c>
      <c r="Z10" s="11" t="str">
        <f t="shared" si="23"/>
        <v/>
      </c>
      <c r="AA10" s="11" t="str">
        <f t="shared" si="24"/>
        <v/>
      </c>
      <c r="AB10" s="11" t="str">
        <f t="shared" si="25"/>
        <v/>
      </c>
      <c r="AC10" s="11" t="str">
        <f t="shared" si="26"/>
        <v/>
      </c>
      <c r="AD10" s="11" t="str">
        <f t="shared" si="27"/>
        <v/>
      </c>
      <c r="AE10" s="11" t="str">
        <f t="shared" si="28"/>
        <v/>
      </c>
      <c r="AF10" s="11" t="str">
        <f t="shared" si="29"/>
        <v/>
      </c>
      <c r="AG10" s="11" t="str">
        <f t="shared" si="30"/>
        <v/>
      </c>
      <c r="AH10" s="11" t="str">
        <f t="shared" si="31"/>
        <v/>
      </c>
      <c r="AI10" s="11" t="str">
        <f t="shared" si="32"/>
        <v/>
      </c>
      <c r="AJ10" s="11" t="str">
        <f t="shared" si="33"/>
        <v/>
      </c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</row>
    <row r="11" spans="1:52" s="10" customFormat="1" x14ac:dyDescent="0.2">
      <c r="A11" s="140"/>
      <c r="B11" s="140">
        <f t="shared" si="5"/>
        <v>6</v>
      </c>
      <c r="C11" s="140">
        <f t="shared" si="1"/>
        <v>230230.00000000006</v>
      </c>
      <c r="D11" s="140">
        <f t="shared" si="6"/>
        <v>3.4306943416595468E-3</v>
      </c>
      <c r="E11" s="140">
        <f>IF($B11="","",C11*(F$2^B11*(1-F$2)^(B$2-B11)))</f>
        <v>3.4306943416595468E-3</v>
      </c>
      <c r="F11" s="140">
        <f t="shared" si="3"/>
        <v>0.54187396756489048</v>
      </c>
      <c r="G11" s="140"/>
      <c r="H11" s="141">
        <f t="shared" si="7"/>
        <v>-39.953660058111019</v>
      </c>
      <c r="I11" s="140">
        <f t="shared" si="8"/>
        <v>0.60046339941888982</v>
      </c>
      <c r="J11" s="143">
        <f t="shared" si="9"/>
        <v>2.3279711604118352</v>
      </c>
      <c r="K11" s="140"/>
      <c r="L11" s="140" t="str">
        <f t="shared" si="4"/>
        <v/>
      </c>
      <c r="M11" s="140" t="str">
        <f t="shared" si="10"/>
        <v/>
      </c>
      <c r="N11" s="11" t="str">
        <f t="shared" si="11"/>
        <v/>
      </c>
      <c r="O11" s="11" t="str">
        <f t="shared" si="12"/>
        <v/>
      </c>
      <c r="P11" s="11" t="str">
        <f t="shared" si="13"/>
        <v/>
      </c>
      <c r="Q11" s="11" t="str">
        <f t="shared" si="14"/>
        <v/>
      </c>
      <c r="R11" s="11" t="str">
        <f t="shared" si="15"/>
        <v/>
      </c>
      <c r="S11" s="11">
        <f t="shared" si="16"/>
        <v>2.3279711604118351E-2</v>
      </c>
      <c r="T11" s="11" t="str">
        <f t="shared" si="17"/>
        <v/>
      </c>
      <c r="U11" s="11" t="str">
        <f t="shared" si="18"/>
        <v/>
      </c>
      <c r="V11" s="11" t="str">
        <f t="shared" si="19"/>
        <v/>
      </c>
      <c r="W11" s="11" t="str">
        <f t="shared" si="20"/>
        <v/>
      </c>
      <c r="X11" s="11" t="str">
        <f t="shared" si="21"/>
        <v/>
      </c>
      <c r="Y11" s="11" t="str">
        <f t="shared" si="22"/>
        <v/>
      </c>
      <c r="Z11" s="11" t="str">
        <f t="shared" si="23"/>
        <v/>
      </c>
      <c r="AA11" s="11" t="str">
        <f t="shared" si="24"/>
        <v/>
      </c>
      <c r="AB11" s="11" t="str">
        <f t="shared" si="25"/>
        <v/>
      </c>
      <c r="AC11" s="11" t="str">
        <f t="shared" si="26"/>
        <v/>
      </c>
      <c r="AD11" s="11" t="str">
        <f t="shared" si="27"/>
        <v/>
      </c>
      <c r="AE11" s="11" t="str">
        <f t="shared" si="28"/>
        <v/>
      </c>
      <c r="AF11" s="11" t="str">
        <f t="shared" si="29"/>
        <v/>
      </c>
      <c r="AG11" s="11" t="str">
        <f t="shared" si="30"/>
        <v/>
      </c>
      <c r="AH11" s="11" t="str">
        <f t="shared" si="31"/>
        <v/>
      </c>
      <c r="AI11" s="11" t="str">
        <f t="shared" si="32"/>
        <v/>
      </c>
      <c r="AJ11" s="11" t="str">
        <f t="shared" si="33"/>
        <v/>
      </c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</row>
    <row r="12" spans="1:52" s="10" customFormat="1" x14ac:dyDescent="0.2">
      <c r="A12" s="140"/>
      <c r="B12" s="140">
        <f t="shared" ref="B12:B30" si="34">IF(B11&lt;$B$2,IF(B11="","",B11+1),"")</f>
        <v>7</v>
      </c>
      <c r="C12" s="140">
        <f t="shared" si="1"/>
        <v>657800.00000000012</v>
      </c>
      <c r="D12" s="140">
        <f t="shared" si="6"/>
        <v>9.80198383331299E-3</v>
      </c>
      <c r="E12" s="140">
        <f t="shared" ref="E12:E30" si="35">IF($B12="","",C12*(F$2^B12*(1-F$2)^(B$2-B12)))</f>
        <v>9.80198383331299E-3</v>
      </c>
      <c r="F12" s="140">
        <f t="shared" si="3"/>
        <v>0.59144289330035682</v>
      </c>
      <c r="G12" s="140"/>
      <c r="H12" s="141">
        <f t="shared" si="7"/>
        <v>-35.287395187474885</v>
      </c>
      <c r="I12" s="140">
        <f t="shared" si="8"/>
        <v>0.6471260481252511</v>
      </c>
      <c r="J12" s="143">
        <f t="shared" si="9"/>
        <v>0</v>
      </c>
      <c r="K12" s="140"/>
      <c r="L12" s="140" t="str">
        <f t="shared" si="4"/>
        <v/>
      </c>
      <c r="M12" s="140" t="str">
        <f t="shared" si="10"/>
        <v/>
      </c>
      <c r="N12" s="11" t="str">
        <f t="shared" si="11"/>
        <v/>
      </c>
      <c r="O12" s="11" t="str">
        <f t="shared" si="12"/>
        <v/>
      </c>
      <c r="P12" s="11" t="str">
        <f t="shared" si="13"/>
        <v/>
      </c>
      <c r="Q12" s="11" t="str">
        <f t="shared" si="14"/>
        <v/>
      </c>
      <c r="R12" s="11" t="str">
        <f t="shared" si="15"/>
        <v/>
      </c>
      <c r="S12" s="11" t="str">
        <f t="shared" si="16"/>
        <v/>
      </c>
      <c r="T12" s="11" t="str">
        <f t="shared" si="17"/>
        <v/>
      </c>
      <c r="U12" s="11" t="str">
        <f t="shared" si="18"/>
        <v/>
      </c>
      <c r="V12" s="11" t="str">
        <f t="shared" si="19"/>
        <v/>
      </c>
      <c r="W12" s="11" t="str">
        <f t="shared" si="20"/>
        <v/>
      </c>
      <c r="X12" s="11" t="str">
        <f t="shared" si="21"/>
        <v/>
      </c>
      <c r="Y12" s="11" t="str">
        <f t="shared" si="22"/>
        <v/>
      </c>
      <c r="Z12" s="11" t="str">
        <f t="shared" si="23"/>
        <v/>
      </c>
      <c r="AA12" s="11" t="str">
        <f t="shared" si="24"/>
        <v/>
      </c>
      <c r="AB12" s="11" t="str">
        <f t="shared" si="25"/>
        <v/>
      </c>
      <c r="AC12" s="11" t="str">
        <f t="shared" si="26"/>
        <v/>
      </c>
      <c r="AD12" s="11" t="str">
        <f t="shared" si="27"/>
        <v/>
      </c>
      <c r="AE12" s="11" t="str">
        <f t="shared" si="28"/>
        <v/>
      </c>
      <c r="AF12" s="11" t="str">
        <f t="shared" si="29"/>
        <v/>
      </c>
      <c r="AG12" s="11" t="str">
        <f t="shared" si="30"/>
        <v/>
      </c>
      <c r="AH12" s="11" t="str">
        <f t="shared" si="31"/>
        <v/>
      </c>
      <c r="AI12" s="11" t="str">
        <f t="shared" si="32"/>
        <v/>
      </c>
      <c r="AJ12" s="11" t="str">
        <f t="shared" si="33"/>
        <v/>
      </c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</row>
    <row r="13" spans="1:52" s="10" customFormat="1" x14ac:dyDescent="0.2">
      <c r="A13" s="140"/>
      <c r="B13" s="140">
        <f t="shared" si="34"/>
        <v>8</v>
      </c>
      <c r="C13" s="140">
        <f t="shared" si="1"/>
        <v>1562275.0000000002</v>
      </c>
      <c r="D13" s="140">
        <f t="shared" si="6"/>
        <v>2.3279711604118351E-2</v>
      </c>
      <c r="E13" s="140">
        <f t="shared" si="35"/>
        <v>2.3279711604118351E-2</v>
      </c>
      <c r="F13" s="140">
        <f t="shared" si="3"/>
        <v>0.64554622841077447</v>
      </c>
      <c r="G13" s="140"/>
      <c r="H13" s="141">
        <f t="shared" si="7"/>
        <v>-30.621130316838759</v>
      </c>
      <c r="I13" s="140">
        <f t="shared" si="8"/>
        <v>0.69378869683161237</v>
      </c>
      <c r="J13" s="143">
        <f t="shared" si="9"/>
        <v>4.6559423208236703</v>
      </c>
      <c r="K13" s="140"/>
      <c r="L13" s="140" t="str">
        <f t="shared" si="4"/>
        <v/>
      </c>
      <c r="M13" s="140" t="str">
        <f t="shared" si="10"/>
        <v/>
      </c>
      <c r="N13" s="11" t="str">
        <f t="shared" si="11"/>
        <v/>
      </c>
      <c r="O13" s="11" t="str">
        <f t="shared" si="12"/>
        <v/>
      </c>
      <c r="P13" s="11" t="str">
        <f t="shared" si="13"/>
        <v/>
      </c>
      <c r="Q13" s="11" t="str">
        <f t="shared" si="14"/>
        <v/>
      </c>
      <c r="R13" s="11" t="str">
        <f t="shared" si="15"/>
        <v/>
      </c>
      <c r="S13" s="11" t="str">
        <f t="shared" si="16"/>
        <v/>
      </c>
      <c r="T13" s="11">
        <f t="shared" si="17"/>
        <v>4.6559423208236701E-2</v>
      </c>
      <c r="U13" s="11" t="str">
        <f t="shared" si="18"/>
        <v/>
      </c>
      <c r="V13" s="11" t="str">
        <f t="shared" si="19"/>
        <v/>
      </c>
      <c r="W13" s="11" t="str">
        <f t="shared" si="20"/>
        <v/>
      </c>
      <c r="X13" s="11" t="str">
        <f t="shared" si="21"/>
        <v/>
      </c>
      <c r="Y13" s="11" t="str">
        <f t="shared" si="22"/>
        <v/>
      </c>
      <c r="Z13" s="11" t="str">
        <f t="shared" si="23"/>
        <v/>
      </c>
      <c r="AA13" s="11" t="str">
        <f t="shared" si="24"/>
        <v/>
      </c>
      <c r="AB13" s="11" t="str">
        <f t="shared" si="25"/>
        <v/>
      </c>
      <c r="AC13" s="11" t="str">
        <f t="shared" si="26"/>
        <v/>
      </c>
      <c r="AD13" s="11" t="str">
        <f t="shared" si="27"/>
        <v/>
      </c>
      <c r="AE13" s="11" t="str">
        <f t="shared" si="28"/>
        <v/>
      </c>
      <c r="AF13" s="11" t="str">
        <f t="shared" si="29"/>
        <v/>
      </c>
      <c r="AG13" s="11" t="str">
        <f t="shared" si="30"/>
        <v/>
      </c>
      <c r="AH13" s="11" t="str">
        <f t="shared" si="31"/>
        <v/>
      </c>
      <c r="AI13" s="11" t="str">
        <f t="shared" si="32"/>
        <v/>
      </c>
      <c r="AJ13" s="11" t="str">
        <f t="shared" si="33"/>
        <v/>
      </c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</row>
    <row r="14" spans="1:52" s="10" customFormat="1" x14ac:dyDescent="0.2">
      <c r="A14" s="140"/>
      <c r="B14" s="140">
        <f t="shared" si="34"/>
        <v>9</v>
      </c>
      <c r="C14" s="140">
        <f t="shared" si="1"/>
        <v>3124550.0000000005</v>
      </c>
      <c r="D14" s="140">
        <f t="shared" si="6"/>
        <v>4.6559423208236701E-2</v>
      </c>
      <c r="E14" s="140">
        <f t="shared" si="35"/>
        <v>4.6559423208236701E-2</v>
      </c>
      <c r="F14" s="140">
        <f t="shared" si="3"/>
        <v>0.70459876639982666</v>
      </c>
      <c r="G14" s="140"/>
      <c r="H14" s="141">
        <f t="shared" si="7"/>
        <v>-25.954865446202632</v>
      </c>
      <c r="I14" s="140">
        <f t="shared" si="8"/>
        <v>0.74045134553797365</v>
      </c>
      <c r="J14" s="143">
        <f t="shared" si="9"/>
        <v>0</v>
      </c>
      <c r="K14" s="140"/>
      <c r="L14" s="140" t="str">
        <f t="shared" si="4"/>
        <v/>
      </c>
      <c r="M14" s="140" t="str">
        <f t="shared" si="10"/>
        <v/>
      </c>
      <c r="N14" s="11" t="str">
        <f t="shared" si="11"/>
        <v/>
      </c>
      <c r="O14" s="11" t="str">
        <f t="shared" si="12"/>
        <v/>
      </c>
      <c r="P14" s="11" t="str">
        <f t="shared" si="13"/>
        <v/>
      </c>
      <c r="Q14" s="11" t="str">
        <f t="shared" si="14"/>
        <v/>
      </c>
      <c r="R14" s="11" t="str">
        <f t="shared" si="15"/>
        <v/>
      </c>
      <c r="S14" s="11" t="str">
        <f t="shared" si="16"/>
        <v/>
      </c>
      <c r="T14" s="11" t="str">
        <f t="shared" si="17"/>
        <v/>
      </c>
      <c r="U14" s="11" t="str">
        <f t="shared" si="18"/>
        <v/>
      </c>
      <c r="V14" s="11" t="str">
        <f t="shared" si="19"/>
        <v/>
      </c>
      <c r="W14" s="11" t="str">
        <f t="shared" si="20"/>
        <v/>
      </c>
      <c r="X14" s="11" t="str">
        <f t="shared" si="21"/>
        <v/>
      </c>
      <c r="Y14" s="11" t="str">
        <f t="shared" si="22"/>
        <v/>
      </c>
      <c r="Z14" s="11" t="str">
        <f t="shared" si="23"/>
        <v/>
      </c>
      <c r="AA14" s="11" t="str">
        <f t="shared" si="24"/>
        <v/>
      </c>
      <c r="AB14" s="11" t="str">
        <f t="shared" si="25"/>
        <v/>
      </c>
      <c r="AC14" s="11" t="str">
        <f t="shared" si="26"/>
        <v/>
      </c>
      <c r="AD14" s="11" t="str">
        <f t="shared" si="27"/>
        <v/>
      </c>
      <c r="AE14" s="11" t="str">
        <f t="shared" si="28"/>
        <v/>
      </c>
      <c r="AF14" s="11" t="str">
        <f t="shared" si="29"/>
        <v/>
      </c>
      <c r="AG14" s="11" t="str">
        <f t="shared" si="30"/>
        <v/>
      </c>
      <c r="AH14" s="11" t="str">
        <f t="shared" si="31"/>
        <v/>
      </c>
      <c r="AI14" s="11" t="str">
        <f t="shared" si="32"/>
        <v/>
      </c>
      <c r="AJ14" s="11" t="str">
        <f t="shared" si="33"/>
        <v/>
      </c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</row>
    <row r="15" spans="1:52" s="10" customFormat="1" x14ac:dyDescent="0.2">
      <c r="A15" s="140"/>
      <c r="B15" s="140">
        <f t="shared" si="34"/>
        <v>10</v>
      </c>
      <c r="C15" s="140">
        <f t="shared" si="1"/>
        <v>5311735.0000000009</v>
      </c>
      <c r="D15" s="140">
        <f t="shared" si="6"/>
        <v>7.9151019454002394E-2</v>
      </c>
      <c r="E15" s="140">
        <f t="shared" si="35"/>
        <v>7.9151019454002394E-2</v>
      </c>
      <c r="F15" s="140">
        <f t="shared" si="3"/>
        <v>0.76905324477591119</v>
      </c>
      <c r="G15" s="140"/>
      <c r="H15" s="141">
        <f t="shared" si="7"/>
        <v>-21.288600575566505</v>
      </c>
      <c r="I15" s="140">
        <f t="shared" si="8"/>
        <v>0.78711399424433492</v>
      </c>
      <c r="J15" s="143">
        <f t="shared" si="9"/>
        <v>0</v>
      </c>
      <c r="K15" s="140"/>
      <c r="L15" s="140" t="str">
        <f t="shared" si="4"/>
        <v/>
      </c>
      <c r="M15" s="140" t="str">
        <f t="shared" si="10"/>
        <v/>
      </c>
      <c r="N15" s="11" t="str">
        <f t="shared" si="11"/>
        <v/>
      </c>
      <c r="O15" s="11" t="str">
        <f t="shared" si="12"/>
        <v/>
      </c>
      <c r="P15" s="11" t="str">
        <f t="shared" si="13"/>
        <v/>
      </c>
      <c r="Q15" s="11" t="str">
        <f t="shared" si="14"/>
        <v/>
      </c>
      <c r="R15" s="11" t="str">
        <f t="shared" si="15"/>
        <v/>
      </c>
      <c r="S15" s="11" t="str">
        <f t="shared" si="16"/>
        <v/>
      </c>
      <c r="T15" s="11" t="str">
        <f t="shared" si="17"/>
        <v/>
      </c>
      <c r="U15" s="11" t="str">
        <f t="shared" si="18"/>
        <v/>
      </c>
      <c r="V15" s="11" t="str">
        <f t="shared" si="19"/>
        <v/>
      </c>
      <c r="W15" s="11" t="str">
        <f t="shared" si="20"/>
        <v/>
      </c>
      <c r="X15" s="11" t="str">
        <f t="shared" si="21"/>
        <v/>
      </c>
      <c r="Y15" s="11" t="str">
        <f t="shared" si="22"/>
        <v/>
      </c>
      <c r="Z15" s="11" t="str">
        <f t="shared" si="23"/>
        <v/>
      </c>
      <c r="AA15" s="11" t="str">
        <f t="shared" si="24"/>
        <v/>
      </c>
      <c r="AB15" s="11" t="str">
        <f t="shared" si="25"/>
        <v/>
      </c>
      <c r="AC15" s="11" t="str">
        <f t="shared" si="26"/>
        <v/>
      </c>
      <c r="AD15" s="11" t="str">
        <f t="shared" si="27"/>
        <v/>
      </c>
      <c r="AE15" s="11" t="str">
        <f t="shared" si="28"/>
        <v/>
      </c>
      <c r="AF15" s="11" t="str">
        <f t="shared" si="29"/>
        <v/>
      </c>
      <c r="AG15" s="11" t="str">
        <f t="shared" si="30"/>
        <v/>
      </c>
      <c r="AH15" s="11" t="str">
        <f t="shared" si="31"/>
        <v/>
      </c>
      <c r="AI15" s="11" t="str">
        <f t="shared" si="32"/>
        <v/>
      </c>
      <c r="AJ15" s="11" t="str">
        <f t="shared" si="33"/>
        <v/>
      </c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</row>
    <row r="16" spans="1:52" s="10" customFormat="1" x14ac:dyDescent="0.2">
      <c r="A16" s="140"/>
      <c r="B16" s="140">
        <f t="shared" si="34"/>
        <v>11</v>
      </c>
      <c r="C16" s="140">
        <f t="shared" si="1"/>
        <v>7726160.0000000019</v>
      </c>
      <c r="D16" s="140">
        <f t="shared" si="6"/>
        <v>0.11512875556945804</v>
      </c>
      <c r="E16" s="140">
        <f t="shared" si="35"/>
        <v>0.11512875556945804</v>
      </c>
      <c r="F16" s="140">
        <f t="shared" si="3"/>
        <v>0.83940381605031278</v>
      </c>
      <c r="G16" s="140"/>
      <c r="H16" s="141">
        <f t="shared" si="7"/>
        <v>-16.622335704930379</v>
      </c>
      <c r="I16" s="140">
        <f t="shared" si="8"/>
        <v>0.8337766429506962</v>
      </c>
      <c r="J16" s="143">
        <f t="shared" si="9"/>
        <v>11.512875556945804</v>
      </c>
      <c r="K16" s="140"/>
      <c r="L16" s="140" t="str">
        <f t="shared" si="4"/>
        <v/>
      </c>
      <c r="M16" s="140" t="str">
        <f t="shared" si="10"/>
        <v/>
      </c>
      <c r="N16" s="11" t="str">
        <f t="shared" si="11"/>
        <v/>
      </c>
      <c r="O16" s="11" t="str">
        <f t="shared" si="12"/>
        <v/>
      </c>
      <c r="P16" s="11" t="str">
        <f t="shared" si="13"/>
        <v/>
      </c>
      <c r="Q16" s="11" t="str">
        <f t="shared" si="14"/>
        <v/>
      </c>
      <c r="R16" s="11" t="str">
        <f t="shared" si="15"/>
        <v/>
      </c>
      <c r="S16" s="11" t="str">
        <f t="shared" si="16"/>
        <v/>
      </c>
      <c r="T16" s="11" t="str">
        <f t="shared" si="17"/>
        <v/>
      </c>
      <c r="U16" s="11">
        <f t="shared" si="18"/>
        <v>0.11512875556945804</v>
      </c>
      <c r="V16" s="11" t="str">
        <f t="shared" si="19"/>
        <v/>
      </c>
      <c r="W16" s="11" t="str">
        <f t="shared" si="20"/>
        <v/>
      </c>
      <c r="X16" s="11" t="str">
        <f t="shared" si="21"/>
        <v/>
      </c>
      <c r="Y16" s="11" t="str">
        <f t="shared" si="22"/>
        <v/>
      </c>
      <c r="Z16" s="11" t="str">
        <f t="shared" si="23"/>
        <v/>
      </c>
      <c r="AA16" s="11" t="str">
        <f t="shared" si="24"/>
        <v/>
      </c>
      <c r="AB16" s="11" t="str">
        <f t="shared" si="25"/>
        <v/>
      </c>
      <c r="AC16" s="11" t="str">
        <f t="shared" si="26"/>
        <v/>
      </c>
      <c r="AD16" s="11" t="str">
        <f t="shared" si="27"/>
        <v/>
      </c>
      <c r="AE16" s="11" t="str">
        <f t="shared" si="28"/>
        <v/>
      </c>
      <c r="AF16" s="11" t="str">
        <f t="shared" si="29"/>
        <v/>
      </c>
      <c r="AG16" s="11" t="str">
        <f t="shared" si="30"/>
        <v/>
      </c>
      <c r="AH16" s="11" t="str">
        <f t="shared" si="31"/>
        <v/>
      </c>
      <c r="AI16" s="11" t="str">
        <f t="shared" si="32"/>
        <v/>
      </c>
      <c r="AJ16" s="11" t="str">
        <f t="shared" si="33"/>
        <v/>
      </c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</row>
    <row r="17" spans="1:52" s="10" customFormat="1" x14ac:dyDescent="0.2">
      <c r="A17" s="140"/>
      <c r="B17" s="140">
        <f t="shared" si="34"/>
        <v>12</v>
      </c>
      <c r="C17" s="140">
        <f t="shared" si="1"/>
        <v>9657700.0000000019</v>
      </c>
      <c r="D17" s="140">
        <f t="shared" si="6"/>
        <v>0.14391094446182254</v>
      </c>
      <c r="E17" s="140">
        <f t="shared" si="35"/>
        <v>0.14391094446182254</v>
      </c>
      <c r="F17" s="140">
        <f t="shared" si="3"/>
        <v>0.91618983625137085</v>
      </c>
      <c r="G17" s="140"/>
      <c r="H17" s="141">
        <f t="shared" si="7"/>
        <v>-11.956070834294252</v>
      </c>
      <c r="I17" s="140">
        <f t="shared" si="8"/>
        <v>0.88043929165705748</v>
      </c>
      <c r="J17" s="143">
        <f t="shared" si="9"/>
        <v>14.391094446182255</v>
      </c>
      <c r="K17" s="140"/>
      <c r="L17" s="140" t="str">
        <f t="shared" si="4"/>
        <v/>
      </c>
      <c r="M17" s="140" t="str">
        <f t="shared" si="10"/>
        <v/>
      </c>
      <c r="N17" s="11" t="str">
        <f t="shared" si="11"/>
        <v/>
      </c>
      <c r="O17" s="11" t="str">
        <f t="shared" si="12"/>
        <v/>
      </c>
      <c r="P17" s="11" t="str">
        <f t="shared" si="13"/>
        <v/>
      </c>
      <c r="Q17" s="11" t="str">
        <f t="shared" si="14"/>
        <v/>
      </c>
      <c r="R17" s="11" t="str">
        <f t="shared" si="15"/>
        <v/>
      </c>
      <c r="S17" s="11" t="str">
        <f t="shared" si="16"/>
        <v/>
      </c>
      <c r="T17" s="11" t="str">
        <f t="shared" si="17"/>
        <v/>
      </c>
      <c r="U17" s="11" t="str">
        <f t="shared" si="18"/>
        <v/>
      </c>
      <c r="V17" s="11">
        <f t="shared" si="19"/>
        <v>0.14391094446182254</v>
      </c>
      <c r="W17" s="11" t="str">
        <f t="shared" si="20"/>
        <v/>
      </c>
      <c r="X17" s="11" t="str">
        <f t="shared" si="21"/>
        <v/>
      </c>
      <c r="Y17" s="11" t="str">
        <f t="shared" si="22"/>
        <v/>
      </c>
      <c r="Z17" s="11" t="str">
        <f t="shared" si="23"/>
        <v/>
      </c>
      <c r="AA17" s="11" t="str">
        <f t="shared" si="24"/>
        <v/>
      </c>
      <c r="AB17" s="11" t="str">
        <f t="shared" si="25"/>
        <v/>
      </c>
      <c r="AC17" s="11" t="str">
        <f t="shared" si="26"/>
        <v/>
      </c>
      <c r="AD17" s="11" t="str">
        <f t="shared" si="27"/>
        <v/>
      </c>
      <c r="AE17" s="11" t="str">
        <f t="shared" si="28"/>
        <v/>
      </c>
      <c r="AF17" s="11" t="str">
        <f t="shared" si="29"/>
        <v/>
      </c>
      <c r="AG17" s="11" t="str">
        <f t="shared" si="30"/>
        <v/>
      </c>
      <c r="AH17" s="11" t="str">
        <f t="shared" si="31"/>
        <v/>
      </c>
      <c r="AI17" s="11" t="str">
        <f t="shared" si="32"/>
        <v/>
      </c>
      <c r="AJ17" s="11" t="str">
        <f t="shared" si="33"/>
        <v/>
      </c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</row>
    <row r="18" spans="1:52" s="10" customFormat="1" x14ac:dyDescent="0.2">
      <c r="A18" s="140"/>
      <c r="B18" s="140">
        <f t="shared" si="34"/>
        <v>13</v>
      </c>
      <c r="C18" s="140">
        <f t="shared" si="1"/>
        <v>10400600.000000002</v>
      </c>
      <c r="D18" s="140">
        <f t="shared" si="6"/>
        <v>0.15498101711273196</v>
      </c>
      <c r="E18" s="140">
        <f t="shared" si="35"/>
        <v>0.15498101711273196</v>
      </c>
      <c r="F18" s="140">
        <f t="shared" si="3"/>
        <v>1.0000000000000011</v>
      </c>
      <c r="G18" s="140"/>
      <c r="H18" s="141">
        <f t="shared" si="7"/>
        <v>-7.2898059636581252</v>
      </c>
      <c r="I18" s="140">
        <f t="shared" si="8"/>
        <v>0.92710194036341875</v>
      </c>
      <c r="J18" s="143">
        <f t="shared" si="9"/>
        <v>0</v>
      </c>
      <c r="K18" s="140"/>
      <c r="L18" s="140" t="str">
        <f t="shared" si="4"/>
        <v/>
      </c>
      <c r="M18" s="140" t="str">
        <f t="shared" si="10"/>
        <v/>
      </c>
      <c r="N18" s="11" t="str">
        <f t="shared" si="11"/>
        <v/>
      </c>
      <c r="O18" s="11" t="str">
        <f t="shared" si="12"/>
        <v/>
      </c>
      <c r="P18" s="11" t="str">
        <f t="shared" si="13"/>
        <v/>
      </c>
      <c r="Q18" s="11" t="str">
        <f t="shared" si="14"/>
        <v/>
      </c>
      <c r="R18" s="11" t="str">
        <f t="shared" si="15"/>
        <v/>
      </c>
      <c r="S18" s="11" t="str">
        <f t="shared" si="16"/>
        <v/>
      </c>
      <c r="T18" s="11" t="str">
        <f t="shared" si="17"/>
        <v/>
      </c>
      <c r="U18" s="11" t="str">
        <f t="shared" si="18"/>
        <v/>
      </c>
      <c r="V18" s="11" t="str">
        <f t="shared" si="19"/>
        <v/>
      </c>
      <c r="W18" s="11" t="str">
        <f t="shared" si="20"/>
        <v/>
      </c>
      <c r="X18" s="11" t="str">
        <f t="shared" si="21"/>
        <v/>
      </c>
      <c r="Y18" s="11" t="str">
        <f t="shared" si="22"/>
        <v/>
      </c>
      <c r="Z18" s="11" t="str">
        <f t="shared" si="23"/>
        <v/>
      </c>
      <c r="AA18" s="11" t="str">
        <f t="shared" si="24"/>
        <v/>
      </c>
      <c r="AB18" s="11" t="str">
        <f t="shared" si="25"/>
        <v/>
      </c>
      <c r="AC18" s="11" t="str">
        <f t="shared" si="26"/>
        <v/>
      </c>
      <c r="AD18" s="11" t="str">
        <f t="shared" si="27"/>
        <v/>
      </c>
      <c r="AE18" s="11" t="str">
        <f t="shared" si="28"/>
        <v/>
      </c>
      <c r="AF18" s="11" t="str">
        <f t="shared" si="29"/>
        <v/>
      </c>
      <c r="AG18" s="11" t="str">
        <f t="shared" si="30"/>
        <v/>
      </c>
      <c r="AH18" s="11" t="str">
        <f t="shared" si="31"/>
        <v/>
      </c>
      <c r="AI18" s="11" t="str">
        <f t="shared" si="32"/>
        <v/>
      </c>
      <c r="AJ18" s="11" t="str">
        <f t="shared" si="33"/>
        <v/>
      </c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</row>
    <row r="19" spans="1:52" s="10" customFormat="1" x14ac:dyDescent="0.2">
      <c r="A19" s="140"/>
      <c r="B19" s="140">
        <f t="shared" si="34"/>
        <v>14</v>
      </c>
      <c r="C19" s="140">
        <f t="shared" si="1"/>
        <v>9657700.0000000019</v>
      </c>
      <c r="D19" s="140">
        <f t="shared" si="6"/>
        <v>0.14391094446182254</v>
      </c>
      <c r="E19" s="140">
        <f t="shared" si="35"/>
        <v>0.14391094446182254</v>
      </c>
      <c r="F19" s="140">
        <f t="shared" si="3"/>
        <v>1.0914768538489186</v>
      </c>
      <c r="G19" s="140"/>
      <c r="H19" s="141">
        <f t="shared" si="7"/>
        <v>-2.6235410930219984</v>
      </c>
      <c r="I19" s="140">
        <f t="shared" si="8"/>
        <v>0.97376458906978003</v>
      </c>
      <c r="J19" s="143">
        <f t="shared" si="9"/>
        <v>15.498101711273197</v>
      </c>
      <c r="K19" s="140"/>
      <c r="L19" s="140" t="str">
        <f t="shared" si="4"/>
        <v/>
      </c>
      <c r="M19" s="140" t="str">
        <f t="shared" si="10"/>
        <v/>
      </c>
      <c r="N19" s="11" t="str">
        <f t="shared" si="11"/>
        <v/>
      </c>
      <c r="O19" s="11" t="str">
        <f t="shared" si="12"/>
        <v/>
      </c>
      <c r="P19" s="11" t="str">
        <f t="shared" si="13"/>
        <v/>
      </c>
      <c r="Q19" s="11" t="str">
        <f t="shared" si="14"/>
        <v/>
      </c>
      <c r="R19" s="11" t="str">
        <f t="shared" si="15"/>
        <v/>
      </c>
      <c r="S19" s="11" t="str">
        <f t="shared" si="16"/>
        <v/>
      </c>
      <c r="T19" s="11" t="str">
        <f t="shared" si="17"/>
        <v/>
      </c>
      <c r="U19" s="11" t="str">
        <f t="shared" si="18"/>
        <v/>
      </c>
      <c r="V19" s="11" t="str">
        <f t="shared" si="19"/>
        <v/>
      </c>
      <c r="W19" s="11">
        <f t="shared" si="20"/>
        <v>0.15498101711273196</v>
      </c>
      <c r="X19" s="11" t="str">
        <f t="shared" si="21"/>
        <v/>
      </c>
      <c r="Y19" s="11" t="str">
        <f t="shared" si="22"/>
        <v/>
      </c>
      <c r="Z19" s="11" t="str">
        <f t="shared" si="23"/>
        <v/>
      </c>
      <c r="AA19" s="11" t="str">
        <f t="shared" si="24"/>
        <v/>
      </c>
      <c r="AB19" s="11" t="str">
        <f t="shared" si="25"/>
        <v/>
      </c>
      <c r="AC19" s="11" t="str">
        <f t="shared" si="26"/>
        <v/>
      </c>
      <c r="AD19" s="11" t="str">
        <f t="shared" si="27"/>
        <v/>
      </c>
      <c r="AE19" s="11" t="str">
        <f t="shared" si="28"/>
        <v/>
      </c>
      <c r="AF19" s="11" t="str">
        <f t="shared" si="29"/>
        <v/>
      </c>
      <c r="AG19" s="11" t="str">
        <f t="shared" si="30"/>
        <v/>
      </c>
      <c r="AH19" s="11" t="str">
        <f t="shared" si="31"/>
        <v/>
      </c>
      <c r="AI19" s="11" t="str">
        <f t="shared" si="32"/>
        <v/>
      </c>
      <c r="AJ19" s="11" t="str">
        <f t="shared" si="33"/>
        <v/>
      </c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</row>
    <row r="20" spans="1:52" s="10" customFormat="1" x14ac:dyDescent="0.2">
      <c r="A20" s="140"/>
      <c r="B20" s="140">
        <f t="shared" si="34"/>
        <v>15</v>
      </c>
      <c r="C20" s="140">
        <f t="shared" si="1"/>
        <v>7726160.0000000019</v>
      </c>
      <c r="D20" s="140">
        <f t="shared" si="6"/>
        <v>0.11512875556945804</v>
      </c>
      <c r="E20" s="140">
        <f t="shared" si="35"/>
        <v>0.11512875556945804</v>
      </c>
      <c r="F20" s="140">
        <f t="shared" si="3"/>
        <v>1.191321722487932</v>
      </c>
      <c r="G20" s="140"/>
      <c r="H20" s="141">
        <f t="shared" si="7"/>
        <v>2.0427237776141141</v>
      </c>
      <c r="I20" s="140">
        <f t="shared" si="8"/>
        <v>1.0204272377761412</v>
      </c>
      <c r="J20" s="143">
        <f t="shared" si="9"/>
        <v>0</v>
      </c>
      <c r="K20" s="140"/>
      <c r="L20" s="140" t="str">
        <f t="shared" si="4"/>
        <v/>
      </c>
      <c r="M20" s="140" t="str">
        <f t="shared" si="10"/>
        <v/>
      </c>
      <c r="N20" s="11" t="str">
        <f t="shared" si="11"/>
        <v/>
      </c>
      <c r="O20" s="11" t="str">
        <f t="shared" si="12"/>
        <v/>
      </c>
      <c r="P20" s="11" t="str">
        <f t="shared" si="13"/>
        <v/>
      </c>
      <c r="Q20" s="11" t="str">
        <f t="shared" si="14"/>
        <v/>
      </c>
      <c r="R20" s="11" t="str">
        <f t="shared" si="15"/>
        <v/>
      </c>
      <c r="S20" s="11" t="str">
        <f t="shared" si="16"/>
        <v/>
      </c>
      <c r="T20" s="11" t="str">
        <f t="shared" si="17"/>
        <v/>
      </c>
      <c r="U20" s="11" t="str">
        <f t="shared" si="18"/>
        <v/>
      </c>
      <c r="V20" s="11" t="str">
        <f t="shared" si="19"/>
        <v/>
      </c>
      <c r="W20" s="11" t="str">
        <f t="shared" si="20"/>
        <v/>
      </c>
      <c r="X20" s="11" t="str">
        <f t="shared" si="21"/>
        <v/>
      </c>
      <c r="Y20" s="11" t="str">
        <f t="shared" si="22"/>
        <v/>
      </c>
      <c r="Z20" s="11" t="str">
        <f t="shared" si="23"/>
        <v/>
      </c>
      <c r="AA20" s="11" t="str">
        <f t="shared" si="24"/>
        <v/>
      </c>
      <c r="AB20" s="11" t="str">
        <f t="shared" si="25"/>
        <v/>
      </c>
      <c r="AC20" s="11" t="str">
        <f t="shared" si="26"/>
        <v/>
      </c>
      <c r="AD20" s="11" t="str">
        <f t="shared" si="27"/>
        <v/>
      </c>
      <c r="AE20" s="11" t="str">
        <f t="shared" si="28"/>
        <v/>
      </c>
      <c r="AF20" s="11" t="str">
        <f t="shared" si="29"/>
        <v/>
      </c>
      <c r="AG20" s="11" t="str">
        <f t="shared" si="30"/>
        <v/>
      </c>
      <c r="AH20" s="11" t="str">
        <f t="shared" si="31"/>
        <v/>
      </c>
      <c r="AI20" s="11" t="str">
        <f t="shared" si="32"/>
        <v/>
      </c>
      <c r="AJ20" s="11" t="str">
        <f t="shared" si="33"/>
        <v/>
      </c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</row>
    <row r="21" spans="1:52" s="10" customFormat="1" x14ac:dyDescent="0.2">
      <c r="A21" s="140"/>
      <c r="B21" s="140">
        <f t="shared" si="34"/>
        <v>16</v>
      </c>
      <c r="C21" s="140">
        <f t="shared" si="1"/>
        <v>5311735.0000000009</v>
      </c>
      <c r="D21" s="140">
        <f t="shared" si="6"/>
        <v>7.9151019454002394E-2</v>
      </c>
      <c r="E21" s="140">
        <f t="shared" si="35"/>
        <v>7.9151019454002394E-2</v>
      </c>
      <c r="F21" s="140">
        <f t="shared" si="3"/>
        <v>1.3003000855830011</v>
      </c>
      <c r="G21" s="140"/>
      <c r="H21" s="141">
        <f t="shared" si="7"/>
        <v>6.7089886482502408</v>
      </c>
      <c r="I21" s="140">
        <f t="shared" si="8"/>
        <v>1.0670898864825025</v>
      </c>
      <c r="J21" s="143">
        <f t="shared" si="9"/>
        <v>14.391094446182255</v>
      </c>
      <c r="K21" s="140"/>
      <c r="L21" s="140" t="str">
        <f t="shared" si="4"/>
        <v/>
      </c>
      <c r="M21" s="140" t="str">
        <f t="shared" si="10"/>
        <v/>
      </c>
      <c r="N21" s="11" t="str">
        <f t="shared" si="11"/>
        <v/>
      </c>
      <c r="O21" s="11" t="str">
        <f t="shared" si="12"/>
        <v/>
      </c>
      <c r="P21" s="11" t="str">
        <f t="shared" si="13"/>
        <v/>
      </c>
      <c r="Q21" s="11" t="str">
        <f t="shared" si="14"/>
        <v/>
      </c>
      <c r="R21" s="11" t="str">
        <f t="shared" si="15"/>
        <v/>
      </c>
      <c r="S21" s="11" t="str">
        <f t="shared" si="16"/>
        <v/>
      </c>
      <c r="T21" s="11" t="str">
        <f t="shared" si="17"/>
        <v/>
      </c>
      <c r="U21" s="11" t="str">
        <f t="shared" si="18"/>
        <v/>
      </c>
      <c r="V21" s="11" t="str">
        <f t="shared" si="19"/>
        <v/>
      </c>
      <c r="W21" s="11" t="str">
        <f t="shared" si="20"/>
        <v/>
      </c>
      <c r="X21" s="11">
        <f t="shared" si="21"/>
        <v>0.14391094446182254</v>
      </c>
      <c r="Y21" s="11" t="str">
        <f t="shared" si="22"/>
        <v/>
      </c>
      <c r="Z21" s="11" t="str">
        <f t="shared" si="23"/>
        <v/>
      </c>
      <c r="AA21" s="11" t="str">
        <f t="shared" si="24"/>
        <v/>
      </c>
      <c r="AB21" s="11" t="str">
        <f t="shared" si="25"/>
        <v/>
      </c>
      <c r="AC21" s="11" t="str">
        <f t="shared" si="26"/>
        <v/>
      </c>
      <c r="AD21" s="11" t="str">
        <f t="shared" si="27"/>
        <v/>
      </c>
      <c r="AE21" s="11" t="str">
        <f t="shared" si="28"/>
        <v/>
      </c>
      <c r="AF21" s="11" t="str">
        <f t="shared" si="29"/>
        <v/>
      </c>
      <c r="AG21" s="11" t="str">
        <f t="shared" si="30"/>
        <v/>
      </c>
      <c r="AH21" s="11" t="str">
        <f t="shared" si="31"/>
        <v/>
      </c>
      <c r="AI21" s="11" t="str">
        <f t="shared" si="32"/>
        <v/>
      </c>
      <c r="AJ21" s="11" t="str">
        <f t="shared" si="33"/>
        <v/>
      </c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</row>
    <row r="22" spans="1:52" s="10" customFormat="1" x14ac:dyDescent="0.2">
      <c r="A22" s="140"/>
      <c r="B22" s="140">
        <f t="shared" si="34"/>
        <v>17</v>
      </c>
      <c r="C22" s="140">
        <f t="shared" si="1"/>
        <v>3124550.0000000005</v>
      </c>
      <c r="D22" s="140">
        <f t="shared" si="6"/>
        <v>4.6559423208236701E-2</v>
      </c>
      <c r="E22" s="140">
        <f t="shared" si="35"/>
        <v>4.6559423208236701E-2</v>
      </c>
      <c r="F22" s="140">
        <f t="shared" si="3"/>
        <v>1.4192474464716121</v>
      </c>
      <c r="G22" s="140"/>
      <c r="H22" s="141">
        <f t="shared" si="7"/>
        <v>11.375253518886382</v>
      </c>
      <c r="I22" s="140">
        <f t="shared" si="8"/>
        <v>1.1137525351888637</v>
      </c>
      <c r="J22" s="143">
        <f t="shared" si="9"/>
        <v>0</v>
      </c>
      <c r="K22" s="140"/>
      <c r="L22" s="140" t="str">
        <f t="shared" si="4"/>
        <v/>
      </c>
      <c r="M22" s="140" t="str">
        <f t="shared" si="10"/>
        <v/>
      </c>
      <c r="N22" s="11" t="str">
        <f t="shared" si="11"/>
        <v/>
      </c>
      <c r="O22" s="11" t="str">
        <f t="shared" si="12"/>
        <v/>
      </c>
      <c r="P22" s="11" t="str">
        <f t="shared" si="13"/>
        <v/>
      </c>
      <c r="Q22" s="11" t="str">
        <f t="shared" si="14"/>
        <v/>
      </c>
      <c r="R22" s="11" t="str">
        <f t="shared" si="15"/>
        <v/>
      </c>
      <c r="S22" s="11" t="str">
        <f t="shared" si="16"/>
        <v/>
      </c>
      <c r="T22" s="11" t="str">
        <f t="shared" si="17"/>
        <v/>
      </c>
      <c r="U22" s="11" t="str">
        <f t="shared" si="18"/>
        <v/>
      </c>
      <c r="V22" s="11" t="str">
        <f t="shared" si="19"/>
        <v/>
      </c>
      <c r="W22" s="11" t="str">
        <f t="shared" si="20"/>
        <v/>
      </c>
      <c r="X22" s="11" t="str">
        <f t="shared" si="21"/>
        <v/>
      </c>
      <c r="Y22" s="11" t="str">
        <f t="shared" si="22"/>
        <v/>
      </c>
      <c r="Z22" s="11" t="str">
        <f t="shared" si="23"/>
        <v/>
      </c>
      <c r="AA22" s="11" t="str">
        <f t="shared" si="24"/>
        <v/>
      </c>
      <c r="AB22" s="11" t="str">
        <f t="shared" si="25"/>
        <v/>
      </c>
      <c r="AC22" s="11" t="str">
        <f t="shared" si="26"/>
        <v/>
      </c>
      <c r="AD22" s="11" t="str">
        <f t="shared" si="27"/>
        <v/>
      </c>
      <c r="AE22" s="11" t="str">
        <f t="shared" si="28"/>
        <v/>
      </c>
      <c r="AF22" s="11" t="str">
        <f t="shared" si="29"/>
        <v/>
      </c>
      <c r="AG22" s="11" t="str">
        <f t="shared" si="30"/>
        <v/>
      </c>
      <c r="AH22" s="11" t="str">
        <f t="shared" si="31"/>
        <v/>
      </c>
      <c r="AI22" s="11" t="str">
        <f t="shared" si="32"/>
        <v/>
      </c>
      <c r="AJ22" s="11" t="str">
        <f t="shared" si="33"/>
        <v/>
      </c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</row>
    <row r="23" spans="1:52" s="10" customFormat="1" x14ac:dyDescent="0.2">
      <c r="A23" s="140"/>
      <c r="B23" s="140">
        <f t="shared" si="34"/>
        <v>18</v>
      </c>
      <c r="C23" s="140">
        <f t="shared" si="1"/>
        <v>1562275.0000000002</v>
      </c>
      <c r="D23" s="140">
        <f t="shared" si="6"/>
        <v>2.3279711604118351E-2</v>
      </c>
      <c r="E23" s="140">
        <f t="shared" si="35"/>
        <v>2.3279711604118351E-2</v>
      </c>
      <c r="F23" s="140">
        <f t="shared" si="3"/>
        <v>1.5490757377079449</v>
      </c>
      <c r="G23" s="140"/>
      <c r="H23" s="141">
        <f t="shared" si="7"/>
        <v>16.041518389522508</v>
      </c>
      <c r="I23" s="140">
        <f t="shared" si="8"/>
        <v>1.160415183895225</v>
      </c>
      <c r="J23" s="143">
        <f t="shared" si="9"/>
        <v>11.512875556945804</v>
      </c>
      <c r="K23" s="140"/>
      <c r="L23" s="140" t="str">
        <f t="shared" si="4"/>
        <v/>
      </c>
      <c r="M23" s="140" t="str">
        <f t="shared" si="10"/>
        <v/>
      </c>
      <c r="N23" s="11" t="str">
        <f t="shared" si="11"/>
        <v/>
      </c>
      <c r="O23" s="11" t="str">
        <f t="shared" si="12"/>
        <v/>
      </c>
      <c r="P23" s="11" t="str">
        <f t="shared" si="13"/>
        <v/>
      </c>
      <c r="Q23" s="11" t="str">
        <f t="shared" si="14"/>
        <v/>
      </c>
      <c r="R23" s="11" t="str">
        <f t="shared" si="15"/>
        <v/>
      </c>
      <c r="S23" s="11" t="str">
        <f t="shared" si="16"/>
        <v/>
      </c>
      <c r="T23" s="11" t="str">
        <f t="shared" si="17"/>
        <v/>
      </c>
      <c r="U23" s="11" t="str">
        <f t="shared" si="18"/>
        <v/>
      </c>
      <c r="V23" s="11" t="str">
        <f t="shared" si="19"/>
        <v/>
      </c>
      <c r="W23" s="11" t="str">
        <f t="shared" si="20"/>
        <v/>
      </c>
      <c r="X23" s="11" t="str">
        <f t="shared" si="21"/>
        <v/>
      </c>
      <c r="Y23" s="11">
        <f t="shared" si="22"/>
        <v>0.11512875556945804</v>
      </c>
      <c r="Z23" s="11" t="str">
        <f t="shared" si="23"/>
        <v/>
      </c>
      <c r="AA23" s="11" t="str">
        <f t="shared" si="24"/>
        <v/>
      </c>
      <c r="AB23" s="11" t="str">
        <f t="shared" si="25"/>
        <v/>
      </c>
      <c r="AC23" s="11" t="str">
        <f t="shared" si="26"/>
        <v/>
      </c>
      <c r="AD23" s="11" t="str">
        <f t="shared" si="27"/>
        <v/>
      </c>
      <c r="AE23" s="11" t="str">
        <f t="shared" si="28"/>
        <v/>
      </c>
      <c r="AF23" s="11" t="str">
        <f t="shared" si="29"/>
        <v/>
      </c>
      <c r="AG23" s="11" t="str">
        <f t="shared" si="30"/>
        <v/>
      </c>
      <c r="AH23" s="11" t="str">
        <f t="shared" si="31"/>
        <v/>
      </c>
      <c r="AI23" s="11" t="str">
        <f t="shared" si="32"/>
        <v/>
      </c>
      <c r="AJ23" s="11" t="str">
        <f t="shared" si="33"/>
        <v/>
      </c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</row>
    <row r="24" spans="1:52" s="10" customFormat="1" x14ac:dyDescent="0.2">
      <c r="A24" s="140"/>
      <c r="B24" s="140">
        <f t="shared" si="34"/>
        <v>19</v>
      </c>
      <c r="C24" s="140">
        <f t="shared" si="1"/>
        <v>657800.00000000012</v>
      </c>
      <c r="D24" s="140">
        <f t="shared" si="6"/>
        <v>9.80198383331299E-3</v>
      </c>
      <c r="E24" s="140">
        <f t="shared" si="35"/>
        <v>9.80198383331299E-3</v>
      </c>
      <c r="F24" s="140">
        <f t="shared" si="3"/>
        <v>1.6907803125671585</v>
      </c>
      <c r="G24" s="140"/>
      <c r="H24" s="141">
        <f t="shared" si="7"/>
        <v>20.707783260158635</v>
      </c>
      <c r="I24" s="140">
        <f t="shared" si="8"/>
        <v>1.2070778326015863</v>
      </c>
      <c r="J24" s="143">
        <f t="shared" si="9"/>
        <v>0</v>
      </c>
      <c r="K24" s="140"/>
      <c r="L24" s="140" t="str">
        <f t="shared" si="4"/>
        <v/>
      </c>
      <c r="M24" s="140" t="str">
        <f t="shared" si="10"/>
        <v/>
      </c>
      <c r="N24" s="11" t="str">
        <f t="shared" si="11"/>
        <v/>
      </c>
      <c r="O24" s="11" t="str">
        <f t="shared" si="12"/>
        <v/>
      </c>
      <c r="P24" s="11" t="str">
        <f t="shared" si="13"/>
        <v/>
      </c>
      <c r="Q24" s="11" t="str">
        <f t="shared" si="14"/>
        <v/>
      </c>
      <c r="R24" s="11" t="str">
        <f t="shared" si="15"/>
        <v/>
      </c>
      <c r="S24" s="11" t="str">
        <f t="shared" si="16"/>
        <v/>
      </c>
      <c r="T24" s="11" t="str">
        <f t="shared" si="17"/>
        <v/>
      </c>
      <c r="U24" s="11" t="str">
        <f t="shared" si="18"/>
        <v/>
      </c>
      <c r="V24" s="11" t="str">
        <f t="shared" si="19"/>
        <v/>
      </c>
      <c r="W24" s="11" t="str">
        <f t="shared" si="20"/>
        <v/>
      </c>
      <c r="X24" s="11" t="str">
        <f t="shared" si="21"/>
        <v/>
      </c>
      <c r="Y24" s="11" t="str">
        <f t="shared" si="22"/>
        <v/>
      </c>
      <c r="Z24" s="11" t="str">
        <f t="shared" si="23"/>
        <v/>
      </c>
      <c r="AA24" s="11" t="str">
        <f t="shared" si="24"/>
        <v/>
      </c>
      <c r="AB24" s="11" t="str">
        <f t="shared" si="25"/>
        <v/>
      </c>
      <c r="AC24" s="11" t="str">
        <f t="shared" si="26"/>
        <v/>
      </c>
      <c r="AD24" s="11" t="str">
        <f t="shared" si="27"/>
        <v/>
      </c>
      <c r="AE24" s="11" t="str">
        <f t="shared" si="28"/>
        <v/>
      </c>
      <c r="AF24" s="11" t="str">
        <f t="shared" si="29"/>
        <v/>
      </c>
      <c r="AG24" s="11" t="str">
        <f t="shared" si="30"/>
        <v/>
      </c>
      <c r="AH24" s="11" t="str">
        <f t="shared" si="31"/>
        <v/>
      </c>
      <c r="AI24" s="11" t="str">
        <f t="shared" si="32"/>
        <v/>
      </c>
      <c r="AJ24" s="11" t="str">
        <f t="shared" si="33"/>
        <v/>
      </c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</row>
    <row r="25" spans="1:52" s="10" customFormat="1" x14ac:dyDescent="0.2">
      <c r="A25" s="140"/>
      <c r="B25" s="140">
        <f t="shared" si="34"/>
        <v>20</v>
      </c>
      <c r="C25" s="140">
        <f t="shared" si="1"/>
        <v>230230.00000000006</v>
      </c>
      <c r="D25" s="140">
        <f t="shared" si="6"/>
        <v>3.4306943416595468E-3</v>
      </c>
      <c r="E25" s="140">
        <f t="shared" si="35"/>
        <v>3.4306943416595468E-3</v>
      </c>
      <c r="F25" s="140">
        <f t="shared" si="3"/>
        <v>1.8454475761104912</v>
      </c>
      <c r="G25" s="140"/>
      <c r="H25" s="141">
        <f t="shared" si="7"/>
        <v>25.374048130794762</v>
      </c>
      <c r="I25" s="140">
        <f t="shared" si="8"/>
        <v>1.2537404813079476</v>
      </c>
      <c r="J25" s="143">
        <f t="shared" si="9"/>
        <v>7.9151019454002398</v>
      </c>
      <c r="K25" s="140"/>
      <c r="L25" s="140" t="str">
        <f t="shared" si="4"/>
        <v/>
      </c>
      <c r="M25" s="140" t="str">
        <f t="shared" si="10"/>
        <v/>
      </c>
      <c r="N25" s="11" t="str">
        <f t="shared" si="11"/>
        <v/>
      </c>
      <c r="O25" s="11" t="str">
        <f t="shared" si="12"/>
        <v/>
      </c>
      <c r="P25" s="11" t="str">
        <f t="shared" si="13"/>
        <v/>
      </c>
      <c r="Q25" s="11" t="str">
        <f t="shared" si="14"/>
        <v/>
      </c>
      <c r="R25" s="11" t="str">
        <f t="shared" si="15"/>
        <v/>
      </c>
      <c r="S25" s="11" t="str">
        <f t="shared" si="16"/>
        <v/>
      </c>
      <c r="T25" s="11" t="str">
        <f t="shared" si="17"/>
        <v/>
      </c>
      <c r="U25" s="11" t="str">
        <f t="shared" si="18"/>
        <v/>
      </c>
      <c r="V25" s="11" t="str">
        <f t="shared" si="19"/>
        <v/>
      </c>
      <c r="W25" s="11" t="str">
        <f t="shared" si="20"/>
        <v/>
      </c>
      <c r="X25" s="11" t="str">
        <f t="shared" si="21"/>
        <v/>
      </c>
      <c r="Y25" s="11" t="str">
        <f t="shared" si="22"/>
        <v/>
      </c>
      <c r="Z25" s="11">
        <f t="shared" si="23"/>
        <v>7.9151019454002394E-2</v>
      </c>
      <c r="AA25" s="11" t="str">
        <f t="shared" si="24"/>
        <v/>
      </c>
      <c r="AB25" s="11" t="str">
        <f t="shared" si="25"/>
        <v/>
      </c>
      <c r="AC25" s="11" t="str">
        <f t="shared" si="26"/>
        <v/>
      </c>
      <c r="AD25" s="11" t="str">
        <f t="shared" si="27"/>
        <v/>
      </c>
      <c r="AE25" s="11" t="str">
        <f t="shared" si="28"/>
        <v/>
      </c>
      <c r="AF25" s="11" t="str">
        <f t="shared" si="29"/>
        <v/>
      </c>
      <c r="AG25" s="11" t="str">
        <f t="shared" si="30"/>
        <v/>
      </c>
      <c r="AH25" s="11" t="str">
        <f t="shared" si="31"/>
        <v/>
      </c>
      <c r="AI25" s="11" t="str">
        <f t="shared" si="32"/>
        <v/>
      </c>
      <c r="AJ25" s="11" t="str">
        <f t="shared" si="33"/>
        <v/>
      </c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</row>
    <row r="26" spans="1:52" s="10" customFormat="1" x14ac:dyDescent="0.2">
      <c r="A26" s="140"/>
      <c r="B26" s="140">
        <f t="shared" si="34"/>
        <v>21</v>
      </c>
      <c r="C26" s="140">
        <f t="shared" si="1"/>
        <v>65780.000000000015</v>
      </c>
      <c r="D26" s="140">
        <f t="shared" si="6"/>
        <v>9.8019838333129904E-4</v>
      </c>
      <c r="E26" s="140">
        <f t="shared" si="35"/>
        <v>9.8019838333129904E-4</v>
      </c>
      <c r="F26" s="140">
        <f t="shared" si="3"/>
        <v>2.0142633143161892</v>
      </c>
      <c r="G26" s="140"/>
      <c r="H26" s="141">
        <f t="shared" si="7"/>
        <v>30.040313001430889</v>
      </c>
      <c r="I26" s="140">
        <f t="shared" si="8"/>
        <v>1.3004031300143089</v>
      </c>
      <c r="J26" s="143">
        <f t="shared" si="9"/>
        <v>0</v>
      </c>
      <c r="K26" s="140"/>
      <c r="L26" s="140" t="str">
        <f t="shared" si="4"/>
        <v/>
      </c>
      <c r="M26" s="140" t="str">
        <f t="shared" si="10"/>
        <v/>
      </c>
      <c r="N26" s="11" t="str">
        <f t="shared" si="11"/>
        <v/>
      </c>
      <c r="O26" s="11" t="str">
        <f t="shared" si="12"/>
        <v/>
      </c>
      <c r="P26" s="11" t="str">
        <f t="shared" si="13"/>
        <v/>
      </c>
      <c r="Q26" s="11" t="str">
        <f t="shared" si="14"/>
        <v/>
      </c>
      <c r="R26" s="11" t="str">
        <f t="shared" si="15"/>
        <v/>
      </c>
      <c r="S26" s="11" t="str">
        <f t="shared" si="16"/>
        <v/>
      </c>
      <c r="T26" s="11" t="str">
        <f t="shared" si="17"/>
        <v/>
      </c>
      <c r="U26" s="11" t="str">
        <f t="shared" si="18"/>
        <v/>
      </c>
      <c r="V26" s="11" t="str">
        <f t="shared" si="19"/>
        <v/>
      </c>
      <c r="W26" s="11" t="str">
        <f t="shared" si="20"/>
        <v/>
      </c>
      <c r="X26" s="11" t="str">
        <f t="shared" si="21"/>
        <v/>
      </c>
      <c r="Y26" s="11" t="str">
        <f t="shared" si="22"/>
        <v/>
      </c>
      <c r="Z26" s="11" t="str">
        <f t="shared" si="23"/>
        <v/>
      </c>
      <c r="AA26" s="11" t="str">
        <f t="shared" si="24"/>
        <v/>
      </c>
      <c r="AB26" s="11" t="str">
        <f t="shared" si="25"/>
        <v/>
      </c>
      <c r="AC26" s="11" t="str">
        <f t="shared" si="26"/>
        <v/>
      </c>
      <c r="AD26" s="11" t="str">
        <f t="shared" si="27"/>
        <v/>
      </c>
      <c r="AE26" s="11" t="str">
        <f t="shared" si="28"/>
        <v/>
      </c>
      <c r="AF26" s="11" t="str">
        <f t="shared" si="29"/>
        <v/>
      </c>
      <c r="AG26" s="11" t="str">
        <f t="shared" si="30"/>
        <v/>
      </c>
      <c r="AH26" s="11" t="str">
        <f t="shared" si="31"/>
        <v/>
      </c>
      <c r="AI26" s="11" t="str">
        <f t="shared" si="32"/>
        <v/>
      </c>
      <c r="AJ26" s="11" t="str">
        <f t="shared" si="33"/>
        <v/>
      </c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</row>
    <row r="27" spans="1:52" s="10" customFormat="1" x14ac:dyDescent="0.2">
      <c r="A27" s="140"/>
      <c r="B27" s="140">
        <f t="shared" si="34"/>
        <v>22</v>
      </c>
      <c r="C27" s="140">
        <f t="shared" si="1"/>
        <v>14950.000000000004</v>
      </c>
      <c r="D27" s="140">
        <f t="shared" si="6"/>
        <v>2.2277235984802252E-4</v>
      </c>
      <c r="E27" s="140">
        <f t="shared" si="35"/>
        <v>2.2277235984802252E-4</v>
      </c>
      <c r="F27" s="140">
        <f t="shared" si="3"/>
        <v>2.1985217851331278</v>
      </c>
      <c r="G27" s="140"/>
      <c r="H27" s="141">
        <f t="shared" si="7"/>
        <v>34.706577872067015</v>
      </c>
      <c r="I27" s="140">
        <f t="shared" si="8"/>
        <v>1.3470657787206701</v>
      </c>
      <c r="J27" s="143">
        <f t="shared" si="9"/>
        <v>0</v>
      </c>
      <c r="K27" s="140"/>
      <c r="L27" s="140" t="str">
        <f t="shared" si="4"/>
        <v/>
      </c>
      <c r="M27" s="140" t="str">
        <f t="shared" si="10"/>
        <v/>
      </c>
      <c r="N27" s="11" t="str">
        <f t="shared" si="11"/>
        <v/>
      </c>
      <c r="O27" s="11" t="str">
        <f t="shared" si="12"/>
        <v/>
      </c>
      <c r="P27" s="11" t="str">
        <f t="shared" si="13"/>
        <v/>
      </c>
      <c r="Q27" s="11" t="str">
        <f t="shared" si="14"/>
        <v/>
      </c>
      <c r="R27" s="11" t="str">
        <f t="shared" si="15"/>
        <v/>
      </c>
      <c r="S27" s="11" t="str">
        <f t="shared" si="16"/>
        <v/>
      </c>
      <c r="T27" s="11" t="str">
        <f t="shared" si="17"/>
        <v/>
      </c>
      <c r="U27" s="11" t="str">
        <f t="shared" si="18"/>
        <v/>
      </c>
      <c r="V27" s="11" t="str">
        <f t="shared" si="19"/>
        <v/>
      </c>
      <c r="W27" s="11" t="str">
        <f t="shared" si="20"/>
        <v/>
      </c>
      <c r="X27" s="11" t="str">
        <f t="shared" si="21"/>
        <v/>
      </c>
      <c r="Y27" s="11" t="str">
        <f t="shared" si="22"/>
        <v/>
      </c>
      <c r="Z27" s="11" t="str">
        <f t="shared" si="23"/>
        <v/>
      </c>
      <c r="AA27" s="11" t="str">
        <f t="shared" si="24"/>
        <v/>
      </c>
      <c r="AB27" s="11" t="str">
        <f t="shared" si="25"/>
        <v/>
      </c>
      <c r="AC27" s="11" t="str">
        <f t="shared" si="26"/>
        <v/>
      </c>
      <c r="AD27" s="11" t="str">
        <f t="shared" si="27"/>
        <v/>
      </c>
      <c r="AE27" s="11" t="str">
        <f t="shared" si="28"/>
        <v/>
      </c>
      <c r="AF27" s="11" t="str">
        <f t="shared" si="29"/>
        <v/>
      </c>
      <c r="AG27" s="11" t="str">
        <f t="shared" si="30"/>
        <v/>
      </c>
      <c r="AH27" s="11" t="str">
        <f t="shared" si="31"/>
        <v/>
      </c>
      <c r="AI27" s="11" t="str">
        <f t="shared" si="32"/>
        <v/>
      </c>
      <c r="AJ27" s="11" t="str">
        <f t="shared" si="33"/>
        <v/>
      </c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</row>
    <row r="28" spans="1:52" s="10" customFormat="1" x14ac:dyDescent="0.2">
      <c r="A28" s="140"/>
      <c r="B28" s="140">
        <f t="shared" si="34"/>
        <v>23</v>
      </c>
      <c r="C28" s="140">
        <f t="shared" si="1"/>
        <v>2600.0000000000005</v>
      </c>
      <c r="D28" s="140">
        <f t="shared" si="6"/>
        <v>3.8743019104003913E-5</v>
      </c>
      <c r="E28" s="140">
        <f t="shared" si="35"/>
        <v>3.8743019104003913E-5</v>
      </c>
      <c r="F28" s="140">
        <f t="shared" si="3"/>
        <v>2.3996356411554114</v>
      </c>
      <c r="G28" s="140"/>
      <c r="H28" s="141">
        <f t="shared" si="7"/>
        <v>39.372842742703142</v>
      </c>
      <c r="I28" s="140">
        <f t="shared" si="8"/>
        <v>1.3937284274270314</v>
      </c>
      <c r="J28" s="143">
        <f t="shared" si="9"/>
        <v>4.6559423208236703</v>
      </c>
      <c r="K28" s="140"/>
      <c r="L28" s="140" t="str">
        <f t="shared" si="4"/>
        <v/>
      </c>
      <c r="M28" s="140" t="str">
        <f t="shared" si="10"/>
        <v/>
      </c>
      <c r="N28" s="11" t="str">
        <f t="shared" si="11"/>
        <v/>
      </c>
      <c r="O28" s="11" t="str">
        <f t="shared" si="12"/>
        <v/>
      </c>
      <c r="P28" s="11" t="str">
        <f t="shared" si="13"/>
        <v/>
      </c>
      <c r="Q28" s="11" t="str">
        <f t="shared" si="14"/>
        <v/>
      </c>
      <c r="R28" s="11" t="str">
        <f t="shared" si="15"/>
        <v/>
      </c>
      <c r="S28" s="11" t="str">
        <f t="shared" si="16"/>
        <v/>
      </c>
      <c r="T28" s="11" t="str">
        <f t="shared" si="17"/>
        <v/>
      </c>
      <c r="U28" s="11" t="str">
        <f t="shared" si="18"/>
        <v/>
      </c>
      <c r="V28" s="11" t="str">
        <f t="shared" si="19"/>
        <v/>
      </c>
      <c r="W28" s="11" t="str">
        <f t="shared" si="20"/>
        <v/>
      </c>
      <c r="X28" s="11" t="str">
        <f t="shared" si="21"/>
        <v/>
      </c>
      <c r="Y28" s="11" t="str">
        <f t="shared" si="22"/>
        <v/>
      </c>
      <c r="Z28" s="11" t="str">
        <f t="shared" si="23"/>
        <v/>
      </c>
      <c r="AA28" s="11">
        <f t="shared" si="24"/>
        <v>4.6559423208236701E-2</v>
      </c>
      <c r="AB28" s="11" t="str">
        <f t="shared" si="25"/>
        <v/>
      </c>
      <c r="AC28" s="11" t="str">
        <f t="shared" si="26"/>
        <v/>
      </c>
      <c r="AD28" s="11" t="str">
        <f t="shared" si="27"/>
        <v/>
      </c>
      <c r="AE28" s="11" t="str">
        <f t="shared" si="28"/>
        <v/>
      </c>
      <c r="AF28" s="11" t="str">
        <f t="shared" si="29"/>
        <v/>
      </c>
      <c r="AG28" s="11" t="str">
        <f t="shared" si="30"/>
        <v/>
      </c>
      <c r="AH28" s="11" t="str">
        <f t="shared" si="31"/>
        <v/>
      </c>
      <c r="AI28" s="11" t="str">
        <f t="shared" si="32"/>
        <v/>
      </c>
      <c r="AJ28" s="11" t="str">
        <f t="shared" si="33"/>
        <v/>
      </c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</row>
    <row r="29" spans="1:52" s="10" customFormat="1" x14ac:dyDescent="0.2">
      <c r="A29" s="140"/>
      <c r="B29" s="140">
        <f t="shared" si="34"/>
        <v>24</v>
      </c>
      <c r="C29" s="140">
        <f t="shared" si="1"/>
        <v>325.00000000000006</v>
      </c>
      <c r="D29" s="140">
        <f t="shared" si="6"/>
        <v>4.8428773880004891E-6</v>
      </c>
      <c r="E29" s="140">
        <f t="shared" si="35"/>
        <v>4.8428773880004891E-6</v>
      </c>
      <c r="F29" s="140">
        <f t="shared" si="3"/>
        <v>2.6191467599920384</v>
      </c>
      <c r="G29" s="140"/>
      <c r="H29" s="141">
        <f t="shared" si="7"/>
        <v>44.039107613339269</v>
      </c>
      <c r="I29" s="140">
        <f t="shared" si="8"/>
        <v>1.4403910761333927</v>
      </c>
      <c r="J29" s="143">
        <f t="shared" si="9"/>
        <v>0</v>
      </c>
      <c r="K29" s="140"/>
      <c r="L29" s="140" t="str">
        <f t="shared" si="4"/>
        <v/>
      </c>
      <c r="M29" s="140" t="str">
        <f t="shared" si="10"/>
        <v/>
      </c>
      <c r="N29" s="11" t="str">
        <f t="shared" si="11"/>
        <v/>
      </c>
      <c r="O29" s="11" t="str">
        <f t="shared" si="12"/>
        <v/>
      </c>
      <c r="P29" s="11" t="str">
        <f t="shared" si="13"/>
        <v/>
      </c>
      <c r="Q29" s="11" t="str">
        <f t="shared" si="14"/>
        <v/>
      </c>
      <c r="R29" s="11" t="str">
        <f t="shared" si="15"/>
        <v/>
      </c>
      <c r="S29" s="11" t="str">
        <f t="shared" si="16"/>
        <v/>
      </c>
      <c r="T29" s="11" t="str">
        <f t="shared" si="17"/>
        <v/>
      </c>
      <c r="U29" s="11" t="str">
        <f t="shared" si="18"/>
        <v/>
      </c>
      <c r="V29" s="11" t="str">
        <f t="shared" si="19"/>
        <v/>
      </c>
      <c r="W29" s="11" t="str">
        <f t="shared" si="20"/>
        <v/>
      </c>
      <c r="X29" s="11" t="str">
        <f t="shared" si="21"/>
        <v/>
      </c>
      <c r="Y29" s="11" t="str">
        <f t="shared" si="22"/>
        <v/>
      </c>
      <c r="Z29" s="11" t="str">
        <f t="shared" si="23"/>
        <v/>
      </c>
      <c r="AA29" s="11" t="str">
        <f t="shared" si="24"/>
        <v/>
      </c>
      <c r="AB29" s="11" t="str">
        <f t="shared" si="25"/>
        <v/>
      </c>
      <c r="AC29" s="11" t="str">
        <f t="shared" si="26"/>
        <v/>
      </c>
      <c r="AD29" s="11" t="str">
        <f t="shared" si="27"/>
        <v/>
      </c>
      <c r="AE29" s="11" t="str">
        <f t="shared" si="28"/>
        <v/>
      </c>
      <c r="AF29" s="11" t="str">
        <f t="shared" si="29"/>
        <v/>
      </c>
      <c r="AG29" s="11" t="str">
        <f t="shared" si="30"/>
        <v/>
      </c>
      <c r="AH29" s="11" t="str">
        <f t="shared" si="31"/>
        <v/>
      </c>
      <c r="AI29" s="11" t="str">
        <f t="shared" si="32"/>
        <v/>
      </c>
      <c r="AJ29" s="11" t="str">
        <f t="shared" si="33"/>
        <v/>
      </c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</row>
    <row r="30" spans="1:52" s="10" customFormat="1" x14ac:dyDescent="0.2">
      <c r="A30" s="140"/>
      <c r="B30" s="140">
        <f t="shared" si="34"/>
        <v>25</v>
      </c>
      <c r="C30" s="140">
        <f t="shared" si="1"/>
        <v>26.000000000000007</v>
      </c>
      <c r="D30" s="140">
        <f t="shared" si="6"/>
        <v>3.8743019104003917E-7</v>
      </c>
      <c r="E30" s="140">
        <f t="shared" si="35"/>
        <v>3.8743019104003917E-7</v>
      </c>
      <c r="F30" s="140">
        <f t="shared" si="3"/>
        <v>2.8587380653646957</v>
      </c>
      <c r="G30" s="140"/>
      <c r="H30" s="141">
        <f t="shared" si="7"/>
        <v>48.705372483975395</v>
      </c>
      <c r="I30" s="140">
        <f t="shared" si="8"/>
        <v>1.487053724839754</v>
      </c>
      <c r="J30" s="143">
        <f t="shared" si="9"/>
        <v>0</v>
      </c>
      <c r="K30" s="140"/>
      <c r="L30" s="140" t="str">
        <f t="shared" si="4"/>
        <v/>
      </c>
      <c r="M30" s="140" t="str">
        <f t="shared" si="10"/>
        <v/>
      </c>
      <c r="N30" s="11" t="str">
        <f t="shared" si="11"/>
        <v/>
      </c>
      <c r="O30" s="11" t="str">
        <f t="shared" si="12"/>
        <v/>
      </c>
      <c r="P30" s="11" t="str">
        <f t="shared" si="13"/>
        <v/>
      </c>
      <c r="Q30" s="11" t="str">
        <f t="shared" si="14"/>
        <v/>
      </c>
      <c r="R30" s="11" t="str">
        <f t="shared" si="15"/>
        <v/>
      </c>
      <c r="S30" s="11" t="str">
        <f t="shared" si="16"/>
        <v/>
      </c>
      <c r="T30" s="11" t="str">
        <f t="shared" si="17"/>
        <v/>
      </c>
      <c r="U30" s="11" t="str">
        <f t="shared" si="18"/>
        <v/>
      </c>
      <c r="V30" s="11" t="str">
        <f t="shared" si="19"/>
        <v/>
      </c>
      <c r="W30" s="11" t="str">
        <f t="shared" si="20"/>
        <v/>
      </c>
      <c r="X30" s="11" t="str">
        <f t="shared" si="21"/>
        <v/>
      </c>
      <c r="Y30" s="11" t="str">
        <f t="shared" si="22"/>
        <v/>
      </c>
      <c r="Z30" s="11" t="str">
        <f t="shared" si="23"/>
        <v/>
      </c>
      <c r="AA30" s="11" t="str">
        <f t="shared" si="24"/>
        <v/>
      </c>
      <c r="AB30" s="11" t="str">
        <f t="shared" si="25"/>
        <v/>
      </c>
      <c r="AC30" s="11" t="str">
        <f t="shared" si="26"/>
        <v/>
      </c>
      <c r="AD30" s="11" t="str">
        <f t="shared" si="27"/>
        <v/>
      </c>
      <c r="AE30" s="11" t="str">
        <f t="shared" si="28"/>
        <v/>
      </c>
      <c r="AF30" s="11" t="str">
        <f t="shared" si="29"/>
        <v/>
      </c>
      <c r="AG30" s="11" t="str">
        <f t="shared" si="30"/>
        <v/>
      </c>
      <c r="AH30" s="11" t="str">
        <f t="shared" si="31"/>
        <v/>
      </c>
      <c r="AI30" s="11" t="str">
        <f t="shared" si="32"/>
        <v/>
      </c>
      <c r="AJ30" s="11" t="str">
        <f t="shared" si="33"/>
        <v/>
      </c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</row>
    <row r="31" spans="1:52" s="10" customFormat="1" x14ac:dyDescent="0.2">
      <c r="A31" s="140"/>
      <c r="B31" s="140">
        <f>IF(B30&lt;$B$2,IF(B30="","",B30+1),"")</f>
        <v>26</v>
      </c>
      <c r="C31" s="140">
        <f t="shared" si="1"/>
        <v>1</v>
      </c>
      <c r="D31" s="140">
        <f t="shared" si="6"/>
        <v>1.4901161193847656E-8</v>
      </c>
      <c r="E31" s="140">
        <f>IF($B31="","",C31*(F$2^B31*(1-F$2)^(B$2-B31)))</f>
        <v>1.4901161193847656E-8</v>
      </c>
      <c r="F31" s="140">
        <f t="shared" si="3"/>
        <v>3.1202464295623984</v>
      </c>
      <c r="G31" s="140"/>
      <c r="H31" s="141">
        <f t="shared" si="7"/>
        <v>53.371637354611522</v>
      </c>
      <c r="I31" s="140">
        <f t="shared" si="8"/>
        <v>1.5337163735461152</v>
      </c>
      <c r="J31" s="143">
        <f t="shared" si="9"/>
        <v>2.3279711604118352</v>
      </c>
      <c r="K31" s="140"/>
      <c r="L31" s="140" t="str">
        <f t="shared" si="4"/>
        <v/>
      </c>
      <c r="M31" s="140" t="str">
        <f t="shared" si="10"/>
        <v/>
      </c>
      <c r="N31" s="11" t="str">
        <f t="shared" si="11"/>
        <v/>
      </c>
      <c r="O31" s="11" t="str">
        <f t="shared" si="12"/>
        <v/>
      </c>
      <c r="P31" s="11" t="str">
        <f t="shared" si="13"/>
        <v/>
      </c>
      <c r="Q31" s="11" t="str">
        <f t="shared" si="14"/>
        <v/>
      </c>
      <c r="R31" s="11" t="str">
        <f t="shared" si="15"/>
        <v/>
      </c>
      <c r="S31" s="11" t="str">
        <f t="shared" si="16"/>
        <v/>
      </c>
      <c r="T31" s="11" t="str">
        <f t="shared" si="17"/>
        <v/>
      </c>
      <c r="U31" s="11" t="str">
        <f t="shared" si="18"/>
        <v/>
      </c>
      <c r="V31" s="11" t="str">
        <f t="shared" si="19"/>
        <v/>
      </c>
      <c r="W31" s="11" t="str">
        <f t="shared" si="20"/>
        <v/>
      </c>
      <c r="X31" s="11" t="str">
        <f t="shared" si="21"/>
        <v/>
      </c>
      <c r="Y31" s="11" t="str">
        <f t="shared" si="22"/>
        <v/>
      </c>
      <c r="Z31" s="11" t="str">
        <f t="shared" si="23"/>
        <v/>
      </c>
      <c r="AA31" s="11" t="str">
        <f t="shared" si="24"/>
        <v/>
      </c>
      <c r="AB31" s="11">
        <f t="shared" si="25"/>
        <v>2.3279711604118351E-2</v>
      </c>
      <c r="AC31" s="11" t="str">
        <f t="shared" si="26"/>
        <v/>
      </c>
      <c r="AD31" s="11" t="str">
        <f t="shared" si="27"/>
        <v/>
      </c>
      <c r="AE31" s="11" t="str">
        <f t="shared" si="28"/>
        <v/>
      </c>
      <c r="AF31" s="11" t="str">
        <f t="shared" si="29"/>
        <v/>
      </c>
      <c r="AG31" s="11" t="str">
        <f t="shared" si="30"/>
        <v/>
      </c>
      <c r="AH31" s="11" t="str">
        <f t="shared" si="31"/>
        <v/>
      </c>
      <c r="AI31" s="11" t="str">
        <f t="shared" si="32"/>
        <v/>
      </c>
      <c r="AJ31" s="11" t="str">
        <f t="shared" si="33"/>
        <v/>
      </c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</row>
    <row r="32" spans="1:52" s="10" customFormat="1" x14ac:dyDescent="0.2">
      <c r="A32" s="140"/>
      <c r="B32" s="140"/>
      <c r="C32" s="140"/>
      <c r="D32" s="140"/>
      <c r="E32" s="140"/>
      <c r="F32" s="140"/>
      <c r="G32" s="140"/>
      <c r="H32" s="141">
        <f t="shared" si="7"/>
        <v>58.037902225247649</v>
      </c>
      <c r="I32" s="140">
        <f t="shared" si="8"/>
        <v>1.5803790222524765</v>
      </c>
      <c r="J32" s="143">
        <f t="shared" si="9"/>
        <v>0</v>
      </c>
      <c r="K32" s="140"/>
      <c r="L32" s="140" t="str">
        <f t="shared" si="4"/>
        <v/>
      </c>
      <c r="M32" s="140" t="str">
        <f t="shared" si="10"/>
        <v/>
      </c>
      <c r="N32" s="11" t="str">
        <f t="shared" si="11"/>
        <v/>
      </c>
      <c r="O32" s="11" t="str">
        <f t="shared" si="12"/>
        <v/>
      </c>
      <c r="P32" s="11" t="str">
        <f t="shared" si="13"/>
        <v/>
      </c>
      <c r="Q32" s="11" t="str">
        <f t="shared" si="14"/>
        <v/>
      </c>
      <c r="R32" s="11" t="str">
        <f t="shared" si="15"/>
        <v/>
      </c>
      <c r="S32" s="11" t="str">
        <f t="shared" si="16"/>
        <v/>
      </c>
      <c r="T32" s="11" t="str">
        <f t="shared" si="17"/>
        <v/>
      </c>
      <c r="U32" s="11" t="str">
        <f t="shared" si="18"/>
        <v/>
      </c>
      <c r="V32" s="11" t="str">
        <f t="shared" si="19"/>
        <v/>
      </c>
      <c r="W32" s="11" t="str">
        <f t="shared" si="20"/>
        <v/>
      </c>
      <c r="X32" s="11" t="str">
        <f t="shared" si="21"/>
        <v/>
      </c>
      <c r="Y32" s="11" t="str">
        <f t="shared" si="22"/>
        <v/>
      </c>
      <c r="Z32" s="11" t="str">
        <f t="shared" si="23"/>
        <v/>
      </c>
      <c r="AA32" s="11" t="str">
        <f t="shared" si="24"/>
        <v/>
      </c>
      <c r="AB32" s="11" t="str">
        <f t="shared" si="25"/>
        <v/>
      </c>
      <c r="AC32" s="11" t="str">
        <f t="shared" si="26"/>
        <v/>
      </c>
      <c r="AD32" s="11" t="str">
        <f t="shared" si="27"/>
        <v/>
      </c>
      <c r="AE32" s="11" t="str">
        <f t="shared" si="28"/>
        <v/>
      </c>
      <c r="AF32" s="11" t="str">
        <f t="shared" si="29"/>
        <v/>
      </c>
      <c r="AG32" s="11" t="str">
        <f t="shared" si="30"/>
        <v/>
      </c>
      <c r="AH32" s="11" t="str">
        <f t="shared" si="31"/>
        <v/>
      </c>
      <c r="AI32" s="11" t="str">
        <f t="shared" si="32"/>
        <v/>
      </c>
      <c r="AJ32" s="11" t="str">
        <f t="shared" si="33"/>
        <v/>
      </c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</row>
    <row r="33" spans="1:52" s="10" customFormat="1" x14ac:dyDescent="0.2">
      <c r="A33" s="140"/>
      <c r="B33" s="140"/>
      <c r="C33" s="140"/>
      <c r="D33" s="140"/>
      <c r="E33" s="140"/>
      <c r="F33" s="140"/>
      <c r="G33" s="140"/>
      <c r="H33" s="141">
        <f t="shared" si="7"/>
        <v>62.704167095883776</v>
      </c>
      <c r="I33" s="140">
        <f t="shared" si="8"/>
        <v>1.6270416709588378</v>
      </c>
      <c r="J33" s="143">
        <f t="shared" si="9"/>
        <v>0</v>
      </c>
      <c r="K33" s="140"/>
      <c r="L33" s="140" t="str">
        <f t="shared" si="4"/>
        <v/>
      </c>
      <c r="M33" s="140" t="str">
        <f t="shared" si="10"/>
        <v/>
      </c>
      <c r="N33" s="11" t="str">
        <f t="shared" si="11"/>
        <v/>
      </c>
      <c r="O33" s="11" t="str">
        <f t="shared" si="12"/>
        <v/>
      </c>
      <c r="P33" s="11" t="str">
        <f t="shared" si="13"/>
        <v/>
      </c>
      <c r="Q33" s="11" t="str">
        <f t="shared" si="14"/>
        <v/>
      </c>
      <c r="R33" s="11" t="str">
        <f t="shared" si="15"/>
        <v/>
      </c>
      <c r="S33" s="11" t="str">
        <f t="shared" si="16"/>
        <v/>
      </c>
      <c r="T33" s="11" t="str">
        <f t="shared" si="17"/>
        <v/>
      </c>
      <c r="U33" s="11" t="str">
        <f t="shared" si="18"/>
        <v/>
      </c>
      <c r="V33" s="11" t="str">
        <f t="shared" si="19"/>
        <v/>
      </c>
      <c r="W33" s="11" t="str">
        <f t="shared" si="20"/>
        <v/>
      </c>
      <c r="X33" s="11" t="str">
        <f t="shared" si="21"/>
        <v/>
      </c>
      <c r="Y33" s="11" t="str">
        <f t="shared" si="22"/>
        <v/>
      </c>
      <c r="Z33" s="11" t="str">
        <f t="shared" si="23"/>
        <v/>
      </c>
      <c r="AA33" s="11" t="str">
        <f t="shared" si="24"/>
        <v/>
      </c>
      <c r="AB33" s="11" t="str">
        <f t="shared" si="25"/>
        <v/>
      </c>
      <c r="AC33" s="11" t="str">
        <f t="shared" si="26"/>
        <v/>
      </c>
      <c r="AD33" s="11" t="str">
        <f t="shared" si="27"/>
        <v/>
      </c>
      <c r="AE33" s="11" t="str">
        <f t="shared" si="28"/>
        <v/>
      </c>
      <c r="AF33" s="11" t="str">
        <f t="shared" si="29"/>
        <v/>
      </c>
      <c r="AG33" s="11" t="str">
        <f t="shared" si="30"/>
        <v/>
      </c>
      <c r="AH33" s="11" t="str">
        <f t="shared" si="31"/>
        <v/>
      </c>
      <c r="AI33" s="11" t="str">
        <f t="shared" si="32"/>
        <v/>
      </c>
      <c r="AJ33" s="11" t="str">
        <f t="shared" si="33"/>
        <v/>
      </c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</row>
    <row r="34" spans="1:52" s="10" customFormat="1" x14ac:dyDescent="0.2">
      <c r="A34" s="140"/>
      <c r="B34" s="140"/>
      <c r="C34" s="140"/>
      <c r="D34" s="140"/>
      <c r="E34" s="140"/>
      <c r="F34" s="140"/>
      <c r="G34" s="140"/>
      <c r="H34" s="141">
        <f t="shared" si="7"/>
        <v>67.370431966519902</v>
      </c>
      <c r="I34" s="140">
        <f t="shared" si="8"/>
        <v>1.6737043196651991</v>
      </c>
      <c r="J34" s="143">
        <f t="shared" si="9"/>
        <v>0.98019838333129905</v>
      </c>
      <c r="K34" s="140"/>
      <c r="L34" s="140" t="str">
        <f t="shared" si="4"/>
        <v/>
      </c>
      <c r="M34" s="140" t="str">
        <f t="shared" si="10"/>
        <v/>
      </c>
      <c r="N34" s="11" t="str">
        <f t="shared" si="11"/>
        <v/>
      </c>
      <c r="O34" s="11" t="str">
        <f t="shared" si="12"/>
        <v/>
      </c>
      <c r="P34" s="11" t="str">
        <f t="shared" si="13"/>
        <v/>
      </c>
      <c r="Q34" s="11" t="str">
        <f t="shared" si="14"/>
        <v/>
      </c>
      <c r="R34" s="11" t="str">
        <f t="shared" si="15"/>
        <v/>
      </c>
      <c r="S34" s="11" t="str">
        <f t="shared" si="16"/>
        <v/>
      </c>
      <c r="T34" s="11" t="str">
        <f t="shared" si="17"/>
        <v/>
      </c>
      <c r="U34" s="11" t="str">
        <f t="shared" si="18"/>
        <v/>
      </c>
      <c r="V34" s="11" t="str">
        <f t="shared" si="19"/>
        <v/>
      </c>
      <c r="W34" s="11" t="str">
        <f t="shared" si="20"/>
        <v/>
      </c>
      <c r="X34" s="11" t="str">
        <f t="shared" si="21"/>
        <v/>
      </c>
      <c r="Y34" s="11" t="str">
        <f t="shared" si="22"/>
        <v/>
      </c>
      <c r="Z34" s="11" t="str">
        <f t="shared" si="23"/>
        <v/>
      </c>
      <c r="AA34" s="11" t="str">
        <f t="shared" si="24"/>
        <v/>
      </c>
      <c r="AB34" s="11" t="str">
        <f t="shared" si="25"/>
        <v/>
      </c>
      <c r="AC34" s="11">
        <f t="shared" si="26"/>
        <v>9.80198383331299E-3</v>
      </c>
      <c r="AD34" s="11" t="str">
        <f t="shared" si="27"/>
        <v/>
      </c>
      <c r="AE34" s="11" t="str">
        <f t="shared" si="28"/>
        <v/>
      </c>
      <c r="AF34" s="11" t="str">
        <f t="shared" si="29"/>
        <v/>
      </c>
      <c r="AG34" s="11" t="str">
        <f t="shared" si="30"/>
        <v/>
      </c>
      <c r="AH34" s="11" t="str">
        <f t="shared" si="31"/>
        <v/>
      </c>
      <c r="AI34" s="11" t="str">
        <f t="shared" si="32"/>
        <v/>
      </c>
      <c r="AJ34" s="11" t="str">
        <f t="shared" si="33"/>
        <v/>
      </c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</row>
    <row r="35" spans="1:52" s="10" customFormat="1" x14ac:dyDescent="0.2">
      <c r="A35" s="140"/>
      <c r="B35" s="140"/>
      <c r="C35" s="140"/>
      <c r="D35" s="140"/>
      <c r="E35" s="140"/>
      <c r="F35" s="140"/>
      <c r="G35" s="140"/>
      <c r="H35" s="141">
        <f t="shared" si="7"/>
        <v>72.036696837156029</v>
      </c>
      <c r="I35" s="140">
        <f t="shared" si="8"/>
        <v>1.7203669683715603</v>
      </c>
      <c r="J35" s="143">
        <f t="shared" si="9"/>
        <v>0</v>
      </c>
      <c r="K35" s="140"/>
      <c r="L35" s="140" t="str">
        <f t="shared" si="4"/>
        <v/>
      </c>
      <c r="M35" s="140" t="str">
        <f t="shared" si="10"/>
        <v/>
      </c>
      <c r="N35" s="11" t="str">
        <f t="shared" si="11"/>
        <v/>
      </c>
      <c r="O35" s="11" t="str">
        <f t="shared" si="12"/>
        <v/>
      </c>
      <c r="P35" s="11" t="str">
        <f t="shared" si="13"/>
        <v/>
      </c>
      <c r="Q35" s="11" t="str">
        <f t="shared" si="14"/>
        <v/>
      </c>
      <c r="R35" s="11" t="str">
        <f t="shared" si="15"/>
        <v/>
      </c>
      <c r="S35" s="11" t="str">
        <f t="shared" si="16"/>
        <v/>
      </c>
      <c r="T35" s="11" t="str">
        <f t="shared" si="17"/>
        <v/>
      </c>
      <c r="U35" s="11" t="str">
        <f t="shared" si="18"/>
        <v/>
      </c>
      <c r="V35" s="11" t="str">
        <f t="shared" si="19"/>
        <v/>
      </c>
      <c r="W35" s="11" t="str">
        <f t="shared" si="20"/>
        <v/>
      </c>
      <c r="X35" s="11" t="str">
        <f t="shared" si="21"/>
        <v/>
      </c>
      <c r="Y35" s="11" t="str">
        <f t="shared" si="22"/>
        <v/>
      </c>
      <c r="Z35" s="11" t="str">
        <f t="shared" si="23"/>
        <v/>
      </c>
      <c r="AA35" s="11" t="str">
        <f t="shared" si="24"/>
        <v/>
      </c>
      <c r="AB35" s="11" t="str">
        <f t="shared" si="25"/>
        <v/>
      </c>
      <c r="AC35" s="11" t="str">
        <f t="shared" si="26"/>
        <v/>
      </c>
      <c r="AD35" s="11" t="str">
        <f t="shared" si="27"/>
        <v/>
      </c>
      <c r="AE35" s="11" t="str">
        <f t="shared" si="28"/>
        <v/>
      </c>
      <c r="AF35" s="11" t="str">
        <f t="shared" si="29"/>
        <v/>
      </c>
      <c r="AG35" s="11" t="str">
        <f t="shared" si="30"/>
        <v/>
      </c>
      <c r="AH35" s="11" t="str">
        <f t="shared" si="31"/>
        <v/>
      </c>
      <c r="AI35" s="11" t="str">
        <f t="shared" si="32"/>
        <v/>
      </c>
      <c r="AJ35" s="11" t="str">
        <f t="shared" si="33"/>
        <v/>
      </c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</row>
    <row r="36" spans="1:52" s="10" customFormat="1" x14ac:dyDescent="0.2">
      <c r="A36" s="140"/>
      <c r="B36" s="140"/>
      <c r="C36" s="140"/>
      <c r="D36" s="140"/>
      <c r="E36" s="140"/>
      <c r="F36" s="140"/>
      <c r="G36" s="140"/>
      <c r="H36" s="141">
        <f t="shared" si="7"/>
        <v>76.702961707792156</v>
      </c>
      <c r="I36" s="140">
        <f t="shared" si="8"/>
        <v>1.7670296170779216</v>
      </c>
      <c r="J36" s="143">
        <f t="shared" si="9"/>
        <v>0</v>
      </c>
      <c r="K36" s="140"/>
      <c r="L36" s="140" t="str">
        <f t="shared" si="4"/>
        <v/>
      </c>
      <c r="M36" s="140" t="str">
        <f t="shared" si="10"/>
        <v/>
      </c>
      <c r="N36" s="11" t="str">
        <f t="shared" si="11"/>
        <v/>
      </c>
      <c r="O36" s="11" t="str">
        <f t="shared" si="12"/>
        <v/>
      </c>
      <c r="P36" s="11" t="str">
        <f t="shared" si="13"/>
        <v/>
      </c>
      <c r="Q36" s="11" t="str">
        <f t="shared" si="14"/>
        <v/>
      </c>
      <c r="R36" s="11" t="str">
        <f t="shared" si="15"/>
        <v/>
      </c>
      <c r="S36" s="11" t="str">
        <f t="shared" si="16"/>
        <v/>
      </c>
      <c r="T36" s="11" t="str">
        <f t="shared" si="17"/>
        <v/>
      </c>
      <c r="U36" s="11" t="str">
        <f t="shared" si="18"/>
        <v/>
      </c>
      <c r="V36" s="11" t="str">
        <f t="shared" si="19"/>
        <v/>
      </c>
      <c r="W36" s="11" t="str">
        <f t="shared" si="20"/>
        <v/>
      </c>
      <c r="X36" s="11" t="str">
        <f t="shared" si="21"/>
        <v/>
      </c>
      <c r="Y36" s="11" t="str">
        <f t="shared" si="22"/>
        <v/>
      </c>
      <c r="Z36" s="11" t="str">
        <f t="shared" si="23"/>
        <v/>
      </c>
      <c r="AA36" s="11" t="str">
        <f t="shared" si="24"/>
        <v/>
      </c>
      <c r="AB36" s="11" t="str">
        <f t="shared" si="25"/>
        <v/>
      </c>
      <c r="AC36" s="11" t="str">
        <f t="shared" si="26"/>
        <v/>
      </c>
      <c r="AD36" s="11" t="str">
        <f t="shared" si="27"/>
        <v/>
      </c>
      <c r="AE36" s="11" t="str">
        <f t="shared" si="28"/>
        <v/>
      </c>
      <c r="AF36" s="11" t="str">
        <f t="shared" si="29"/>
        <v/>
      </c>
      <c r="AG36" s="11" t="str">
        <f t="shared" si="30"/>
        <v/>
      </c>
      <c r="AH36" s="11" t="str">
        <f t="shared" si="31"/>
        <v/>
      </c>
      <c r="AI36" s="11" t="str">
        <f t="shared" si="32"/>
        <v/>
      </c>
      <c r="AJ36" s="11" t="str">
        <f t="shared" si="33"/>
        <v/>
      </c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</row>
    <row r="37" spans="1:52" s="10" customFormat="1" x14ac:dyDescent="0.2">
      <c r="A37" s="140"/>
      <c r="B37" s="140"/>
      <c r="C37" s="140"/>
      <c r="D37" s="140"/>
      <c r="E37" s="140"/>
      <c r="F37" s="140"/>
      <c r="G37" s="140"/>
      <c r="H37" s="141">
        <f t="shared" si="7"/>
        <v>81.369226578428282</v>
      </c>
      <c r="I37" s="140">
        <f t="shared" si="8"/>
        <v>1.8136922657842829</v>
      </c>
      <c r="J37" s="143">
        <f t="shared" si="9"/>
        <v>0.3430694341659547</v>
      </c>
      <c r="K37" s="140"/>
      <c r="L37" s="140" t="str">
        <f t="shared" ref="L37:L64" si="36">IF(L$1&gt;$B$2-1,"",IF(SIGN($F$6-$I37)=SIGN($F$6-$I38),"",$E$6))</f>
        <v/>
      </c>
      <c r="M37" s="140" t="str">
        <f t="shared" si="10"/>
        <v/>
      </c>
      <c r="N37" s="11" t="str">
        <f t="shared" si="11"/>
        <v/>
      </c>
      <c r="O37" s="11" t="str">
        <f t="shared" si="12"/>
        <v/>
      </c>
      <c r="P37" s="11" t="str">
        <f t="shared" si="13"/>
        <v/>
      </c>
      <c r="Q37" s="11" t="str">
        <f t="shared" si="14"/>
        <v/>
      </c>
      <c r="R37" s="11" t="str">
        <f t="shared" si="15"/>
        <v/>
      </c>
      <c r="S37" s="11" t="str">
        <f t="shared" si="16"/>
        <v/>
      </c>
      <c r="T37" s="11" t="str">
        <f t="shared" si="17"/>
        <v/>
      </c>
      <c r="U37" s="11" t="str">
        <f t="shared" si="18"/>
        <v/>
      </c>
      <c r="V37" s="11" t="str">
        <f t="shared" si="19"/>
        <v/>
      </c>
      <c r="W37" s="11" t="str">
        <f t="shared" si="20"/>
        <v/>
      </c>
      <c r="X37" s="11" t="str">
        <f t="shared" si="21"/>
        <v/>
      </c>
      <c r="Y37" s="11" t="str">
        <f t="shared" si="22"/>
        <v/>
      </c>
      <c r="Z37" s="11" t="str">
        <f t="shared" si="23"/>
        <v/>
      </c>
      <c r="AA37" s="11" t="str">
        <f t="shared" si="24"/>
        <v/>
      </c>
      <c r="AB37" s="11" t="str">
        <f t="shared" si="25"/>
        <v/>
      </c>
      <c r="AC37" s="11" t="str">
        <f t="shared" si="26"/>
        <v/>
      </c>
      <c r="AD37" s="11">
        <f t="shared" si="27"/>
        <v>3.4306943416595468E-3</v>
      </c>
      <c r="AE37" s="11" t="str">
        <f t="shared" si="28"/>
        <v/>
      </c>
      <c r="AF37" s="11" t="str">
        <f t="shared" si="29"/>
        <v/>
      </c>
      <c r="AG37" s="11" t="str">
        <f t="shared" si="30"/>
        <v/>
      </c>
      <c r="AH37" s="11" t="str">
        <f t="shared" si="31"/>
        <v/>
      </c>
      <c r="AI37" s="11" t="str">
        <f t="shared" si="32"/>
        <v/>
      </c>
      <c r="AJ37" s="11" t="str">
        <f t="shared" si="33"/>
        <v/>
      </c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</row>
    <row r="38" spans="1:52" s="10" customFormat="1" x14ac:dyDescent="0.2">
      <c r="A38" s="140"/>
      <c r="B38" s="140"/>
      <c r="C38" s="140"/>
      <c r="D38" s="140"/>
      <c r="E38" s="140"/>
      <c r="F38" s="140"/>
      <c r="G38" s="140"/>
      <c r="H38" s="141">
        <f t="shared" si="7"/>
        <v>86.035491449064409</v>
      </c>
      <c r="I38" s="140">
        <f t="shared" ref="I38:I65" si="37">I37+(MAX(F$5:F$31)-F$5)/60</f>
        <v>1.8603549144906442</v>
      </c>
      <c r="J38" s="143">
        <f t="shared" si="9"/>
        <v>0</v>
      </c>
      <c r="K38" s="140"/>
      <c r="L38" s="140" t="str">
        <f t="shared" si="36"/>
        <v/>
      </c>
      <c r="M38" s="140" t="str">
        <f t="shared" ref="M38:M64" si="38">IF(M$1&gt;$B$2,"",IF(SIGN($F$7-$I38)=SIGN($F$7-$I39),"",$E$7))</f>
        <v/>
      </c>
      <c r="N38" s="11" t="str">
        <f t="shared" ref="N38:N64" si="39">IF(N$1&gt;$B$2-1,"",IF(SIGN($F$8-$I38)=SIGN($F$8-$I39),"",$E$8))</f>
        <v/>
      </c>
      <c r="O38" s="11" t="str">
        <f t="shared" ref="O38:O63" si="40">IF(O$1&gt;$B$2,"",IF(SIGN($F$9-$I38)=SIGN($F$9-$I39),"",$E$9))</f>
        <v/>
      </c>
      <c r="P38" s="11" t="str">
        <f t="shared" ref="P38:P64" si="41">IF(P$1&gt;$B$2,"",IF(SIGN($F$10-$I38)=SIGN($F$10-$I39),"",$E$10))</f>
        <v/>
      </c>
      <c r="Q38" s="11" t="str">
        <f t="shared" ref="Q38:Q64" si="42">IF(Q$1&gt;$B$2-1,"",IF(SIGN($F$11-$I38)=SIGN($F$11-$I39),"",$E$11))</f>
        <v/>
      </c>
      <c r="R38" s="11" t="str">
        <f t="shared" ref="R38:R64" si="43">IF(R$1&gt;$B$2-1,"",IF(SIGN($F$12-$I38)=SIGN($F$12-$I39),"",$E$12))</f>
        <v/>
      </c>
      <c r="S38" s="11" t="str">
        <f t="shared" ref="S38:S64" si="44">IF(S$1&gt;$B$2-1,"",IF(SIGN($F$13-$I38)=SIGN($F$13-$I39),"",$E$13))</f>
        <v/>
      </c>
      <c r="T38" s="11" t="str">
        <f t="shared" ref="T38:T64" si="45">IF(T$1&gt;$B$2-1,"",IF(SIGN($F$14-$I38)=SIGN($F$14-$I39),"",$E$14))</f>
        <v/>
      </c>
      <c r="U38" s="11" t="str">
        <f t="shared" ref="U38:U64" si="46">IF(U$1&gt;$B$2-1,"",IF(SIGN($F$16-$I38)=SIGN($F$16-$I39),"",$E$16))</f>
        <v/>
      </c>
      <c r="V38" s="11" t="str">
        <f t="shared" ref="V38:V64" si="47">IF(V$1&gt;$B$2-1,"",IF(SIGN($F$17-$I38)=SIGN($F$17-$I39),"",$E$17))</f>
        <v/>
      </c>
      <c r="W38" s="11" t="str">
        <f t="shared" ref="W38:W64" si="48">IF(W$1&gt;$B$2-1,"",IF(SIGN($F$18-$I38)=SIGN($F$18-$I39),"",$E$18))</f>
        <v/>
      </c>
      <c r="X38" s="11" t="str">
        <f t="shared" ref="X38:X64" si="49">IF(X$1&gt;$B$2-1,"",IF(SIGN($F$19-$I38)=SIGN($F$19-$I39),"",$E$19))</f>
        <v/>
      </c>
      <c r="Y38" s="11" t="str">
        <f t="shared" ref="Y38:Y64" si="50">IF(Y$1&gt;$B$2-1,"",IF(SIGN($F$20-$I38)=SIGN($F$20-$I39),"",$E$20))</f>
        <v/>
      </c>
      <c r="Z38" s="11" t="str">
        <f t="shared" ref="Z38:Z64" si="51">IF(Z$1&gt;$B$2-1,"",IF(SIGN($F$21-$I38)=SIGN($F$21-$I39),"",$E$21))</f>
        <v/>
      </c>
      <c r="AA38" s="11" t="str">
        <f t="shared" ref="AA38:AA64" si="52">IF(AA$1&gt;$B$2-1,"",IF(SIGN($F$22-$I38)=SIGN($F$22-$I39),"",$E$22))</f>
        <v/>
      </c>
      <c r="AB38" s="11" t="str">
        <f t="shared" ref="AB38:AB64" si="53">IF(AB$1&gt;$B$2-1,"",IF(SIGN($F$23-$I38)=SIGN($F$23-$I39),"",$E$23))</f>
        <v/>
      </c>
      <c r="AC38" s="11" t="str">
        <f t="shared" ref="AC38:AC64" si="54">IF(AC$1&gt;$B$2-1,"",IF(SIGN($F$24-$I38)=SIGN($F$24-$I39),"",$E$24))</f>
        <v/>
      </c>
      <c r="AD38" s="11" t="str">
        <f t="shared" ref="AD38:AD64" si="55">IF(AD$1&gt;$B$2-1,"",IF(SIGN($F$25-$I38)=SIGN($F$25-$I39),"",$E$25))</f>
        <v/>
      </c>
      <c r="AE38" s="11" t="str">
        <f t="shared" ref="AE38:AE64" si="56">IF(AE$1&gt;$B$2-1,"",IF(SIGN($F$26-$I38)=SIGN($F$26-$I39),"",$E$26))</f>
        <v/>
      </c>
      <c r="AF38" s="11" t="str">
        <f t="shared" ref="AF38:AF64" si="57">IF(AF$1&gt;$B$2-1,"",IF(SIGN($F$27-$I38)=SIGN($F$27-$I39),"",$E$27))</f>
        <v/>
      </c>
      <c r="AG38" s="11" t="str">
        <f t="shared" ref="AG38:AG64" si="58">IF(AG$1&gt;$B$2-1,"",IF(SIGN($F$28-$I38)=SIGN($F$28-$I39),"",$E$28))</f>
        <v/>
      </c>
      <c r="AH38" s="11" t="str">
        <f t="shared" ref="AH38:AH64" si="59">IF(AH$1&gt;$B$2-1,"",IF(SIGN($F$29-$I38)=SIGN($F$29-$I39),"",$E$29))</f>
        <v/>
      </c>
      <c r="AI38" s="11" t="str">
        <f t="shared" ref="AI38:AI64" si="60">IF(AI$1&gt;$B$2-1,"",IF(SIGN($F$30-$I38)=SIGN($F$30-$I39),"",$E$30))</f>
        <v/>
      </c>
      <c r="AJ38" s="11" t="str">
        <f t="shared" ref="AJ38:AJ64" si="61">IF(AJ$1&gt;$B$2-1,"",IF(SIGN($F$31-$I38)=SIGN($F$31-$I39),"",$E$31))</f>
        <v/>
      </c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</row>
    <row r="39" spans="1:52" s="10" customFormat="1" x14ac:dyDescent="0.2">
      <c r="A39" s="140"/>
      <c r="B39" s="140"/>
      <c r="C39" s="140"/>
      <c r="D39" s="140"/>
      <c r="E39" s="140"/>
      <c r="F39" s="140"/>
      <c r="G39" s="140"/>
      <c r="H39" s="141">
        <f t="shared" si="7"/>
        <v>90.701756319700536</v>
      </c>
      <c r="I39" s="140">
        <f t="shared" si="37"/>
        <v>1.9070175631970054</v>
      </c>
      <c r="J39" s="143">
        <f t="shared" si="9"/>
        <v>0</v>
      </c>
      <c r="K39" s="140"/>
      <c r="L39" s="140" t="str">
        <f t="shared" si="36"/>
        <v/>
      </c>
      <c r="M39" s="140" t="str">
        <f t="shared" si="38"/>
        <v/>
      </c>
      <c r="N39" s="11" t="str">
        <f t="shared" si="39"/>
        <v/>
      </c>
      <c r="O39" s="11" t="str">
        <f t="shared" si="40"/>
        <v/>
      </c>
      <c r="P39" s="11" t="str">
        <f t="shared" si="41"/>
        <v/>
      </c>
      <c r="Q39" s="11" t="str">
        <f t="shared" si="42"/>
        <v/>
      </c>
      <c r="R39" s="11" t="str">
        <f t="shared" si="43"/>
        <v/>
      </c>
      <c r="S39" s="11" t="str">
        <f t="shared" si="44"/>
        <v/>
      </c>
      <c r="T39" s="11" t="str">
        <f t="shared" si="45"/>
        <v/>
      </c>
      <c r="U39" s="11" t="str">
        <f t="shared" si="46"/>
        <v/>
      </c>
      <c r="V39" s="11" t="str">
        <f t="shared" si="47"/>
        <v/>
      </c>
      <c r="W39" s="11" t="str">
        <f t="shared" si="48"/>
        <v/>
      </c>
      <c r="X39" s="11" t="str">
        <f t="shared" si="49"/>
        <v/>
      </c>
      <c r="Y39" s="11" t="str">
        <f t="shared" si="50"/>
        <v/>
      </c>
      <c r="Z39" s="11" t="str">
        <f t="shared" si="51"/>
        <v/>
      </c>
      <c r="AA39" s="11" t="str">
        <f t="shared" si="52"/>
        <v/>
      </c>
      <c r="AB39" s="11" t="str">
        <f t="shared" si="53"/>
        <v/>
      </c>
      <c r="AC39" s="11" t="str">
        <f t="shared" si="54"/>
        <v/>
      </c>
      <c r="AD39" s="11" t="str">
        <f t="shared" si="55"/>
        <v/>
      </c>
      <c r="AE39" s="11" t="str">
        <f t="shared" si="56"/>
        <v/>
      </c>
      <c r="AF39" s="11" t="str">
        <f t="shared" si="57"/>
        <v/>
      </c>
      <c r="AG39" s="11" t="str">
        <f t="shared" si="58"/>
        <v/>
      </c>
      <c r="AH39" s="11" t="str">
        <f t="shared" si="59"/>
        <v/>
      </c>
      <c r="AI39" s="11" t="str">
        <f t="shared" si="60"/>
        <v/>
      </c>
      <c r="AJ39" s="11" t="str">
        <f t="shared" si="61"/>
        <v/>
      </c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</row>
    <row r="40" spans="1:52" s="10" customFormat="1" x14ac:dyDescent="0.2">
      <c r="A40" s="140"/>
      <c r="B40" s="140"/>
      <c r="C40" s="140"/>
      <c r="D40" s="140"/>
      <c r="E40" s="140"/>
      <c r="F40" s="140"/>
      <c r="G40" s="140"/>
      <c r="H40" s="141">
        <f t="shared" si="7"/>
        <v>95.368021190336663</v>
      </c>
      <c r="I40" s="140">
        <f t="shared" si="37"/>
        <v>1.9536802119033667</v>
      </c>
      <c r="J40" s="143">
        <f t="shared" si="9"/>
        <v>0</v>
      </c>
      <c r="K40" s="140"/>
      <c r="L40" s="140" t="str">
        <f t="shared" si="36"/>
        <v/>
      </c>
      <c r="M40" s="140" t="str">
        <f t="shared" si="38"/>
        <v/>
      </c>
      <c r="N40" s="11" t="str">
        <f t="shared" si="39"/>
        <v/>
      </c>
      <c r="O40" s="11" t="str">
        <f t="shared" si="40"/>
        <v/>
      </c>
      <c r="P40" s="11" t="str">
        <f t="shared" si="41"/>
        <v/>
      </c>
      <c r="Q40" s="11" t="str">
        <f t="shared" si="42"/>
        <v/>
      </c>
      <c r="R40" s="11" t="str">
        <f t="shared" si="43"/>
        <v/>
      </c>
      <c r="S40" s="11" t="str">
        <f t="shared" si="44"/>
        <v/>
      </c>
      <c r="T40" s="11" t="str">
        <f t="shared" si="45"/>
        <v/>
      </c>
      <c r="U40" s="11" t="str">
        <f t="shared" si="46"/>
        <v/>
      </c>
      <c r="V40" s="11" t="str">
        <f t="shared" si="47"/>
        <v/>
      </c>
      <c r="W40" s="11" t="str">
        <f t="shared" si="48"/>
        <v/>
      </c>
      <c r="X40" s="11" t="str">
        <f t="shared" si="49"/>
        <v/>
      </c>
      <c r="Y40" s="11" t="str">
        <f t="shared" si="50"/>
        <v/>
      </c>
      <c r="Z40" s="11" t="str">
        <f t="shared" si="51"/>
        <v/>
      </c>
      <c r="AA40" s="11" t="str">
        <f t="shared" si="52"/>
        <v/>
      </c>
      <c r="AB40" s="11" t="str">
        <f t="shared" si="53"/>
        <v/>
      </c>
      <c r="AC40" s="11" t="str">
        <f t="shared" si="54"/>
        <v/>
      </c>
      <c r="AD40" s="11" t="str">
        <f t="shared" si="55"/>
        <v/>
      </c>
      <c r="AE40" s="11" t="str">
        <f t="shared" si="56"/>
        <v/>
      </c>
      <c r="AF40" s="11" t="str">
        <f t="shared" si="57"/>
        <v/>
      </c>
      <c r="AG40" s="11" t="str">
        <f t="shared" si="58"/>
        <v/>
      </c>
      <c r="AH40" s="11" t="str">
        <f t="shared" si="59"/>
        <v/>
      </c>
      <c r="AI40" s="11" t="str">
        <f t="shared" si="60"/>
        <v/>
      </c>
      <c r="AJ40" s="11" t="str">
        <f t="shared" si="61"/>
        <v/>
      </c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</row>
    <row r="41" spans="1:52" s="10" customFormat="1" x14ac:dyDescent="0.2">
      <c r="A41" s="140"/>
      <c r="B41" s="140"/>
      <c r="C41" s="140"/>
      <c r="D41" s="140"/>
      <c r="E41" s="140"/>
      <c r="F41" s="140"/>
      <c r="G41" s="140"/>
      <c r="H41" s="141">
        <f t="shared" si="7"/>
        <v>100.03428606097279</v>
      </c>
      <c r="I41" s="140">
        <f t="shared" si="37"/>
        <v>2.0003428606097278</v>
      </c>
      <c r="J41" s="143">
        <f t="shared" si="9"/>
        <v>9.8019838333129911E-2</v>
      </c>
      <c r="K41" s="140"/>
      <c r="L41" s="140" t="str">
        <f t="shared" si="36"/>
        <v/>
      </c>
      <c r="M41" s="140" t="str">
        <f t="shared" si="38"/>
        <v/>
      </c>
      <c r="N41" s="11" t="str">
        <f t="shared" si="39"/>
        <v/>
      </c>
      <c r="O41" s="11" t="str">
        <f t="shared" si="40"/>
        <v/>
      </c>
      <c r="P41" s="11" t="str">
        <f t="shared" si="41"/>
        <v/>
      </c>
      <c r="Q41" s="11" t="str">
        <f t="shared" si="42"/>
        <v/>
      </c>
      <c r="R41" s="11" t="str">
        <f t="shared" si="43"/>
        <v/>
      </c>
      <c r="S41" s="11" t="str">
        <f t="shared" si="44"/>
        <v/>
      </c>
      <c r="T41" s="11" t="str">
        <f t="shared" si="45"/>
        <v/>
      </c>
      <c r="U41" s="11" t="str">
        <f t="shared" si="46"/>
        <v/>
      </c>
      <c r="V41" s="11" t="str">
        <f t="shared" si="47"/>
        <v/>
      </c>
      <c r="W41" s="11" t="str">
        <f t="shared" si="48"/>
        <v/>
      </c>
      <c r="X41" s="11" t="str">
        <f t="shared" si="49"/>
        <v/>
      </c>
      <c r="Y41" s="11" t="str">
        <f t="shared" si="50"/>
        <v/>
      </c>
      <c r="Z41" s="11" t="str">
        <f t="shared" si="51"/>
        <v/>
      </c>
      <c r="AA41" s="11" t="str">
        <f t="shared" si="52"/>
        <v/>
      </c>
      <c r="AB41" s="11" t="str">
        <f t="shared" si="53"/>
        <v/>
      </c>
      <c r="AC41" s="11" t="str">
        <f t="shared" si="54"/>
        <v/>
      </c>
      <c r="AD41" s="11" t="str">
        <f t="shared" si="55"/>
        <v/>
      </c>
      <c r="AE41" s="11">
        <f t="shared" si="56"/>
        <v>9.8019838333129904E-4</v>
      </c>
      <c r="AF41" s="11" t="str">
        <f t="shared" si="57"/>
        <v/>
      </c>
      <c r="AG41" s="11" t="str">
        <f t="shared" si="58"/>
        <v/>
      </c>
      <c r="AH41" s="11" t="str">
        <f t="shared" si="59"/>
        <v/>
      </c>
      <c r="AI41" s="11" t="str">
        <f t="shared" si="60"/>
        <v/>
      </c>
      <c r="AJ41" s="11" t="str">
        <f t="shared" si="61"/>
        <v/>
      </c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</row>
    <row r="42" spans="1:52" s="10" customFormat="1" x14ac:dyDescent="0.2">
      <c r="A42" s="140"/>
      <c r="B42" s="140"/>
      <c r="C42" s="140"/>
      <c r="D42" s="140"/>
      <c r="E42" s="140"/>
      <c r="F42" s="140"/>
      <c r="G42" s="140"/>
      <c r="H42" s="141">
        <f t="shared" si="7"/>
        <v>104.70055093160889</v>
      </c>
      <c r="I42" s="140">
        <f t="shared" si="37"/>
        <v>2.0470055093160888</v>
      </c>
      <c r="J42" s="143">
        <f t="shared" si="9"/>
        <v>0</v>
      </c>
      <c r="K42" s="140"/>
      <c r="L42" s="140" t="str">
        <f t="shared" si="36"/>
        <v/>
      </c>
      <c r="M42" s="140" t="str">
        <f t="shared" si="38"/>
        <v/>
      </c>
      <c r="N42" s="11" t="str">
        <f t="shared" si="39"/>
        <v/>
      </c>
      <c r="O42" s="11" t="str">
        <f t="shared" si="40"/>
        <v/>
      </c>
      <c r="P42" s="11" t="str">
        <f t="shared" si="41"/>
        <v/>
      </c>
      <c r="Q42" s="11" t="str">
        <f t="shared" si="42"/>
        <v/>
      </c>
      <c r="R42" s="11" t="str">
        <f t="shared" si="43"/>
        <v/>
      </c>
      <c r="S42" s="11" t="str">
        <f t="shared" si="44"/>
        <v/>
      </c>
      <c r="T42" s="11" t="str">
        <f t="shared" si="45"/>
        <v/>
      </c>
      <c r="U42" s="11" t="str">
        <f t="shared" si="46"/>
        <v/>
      </c>
      <c r="V42" s="11" t="str">
        <f t="shared" si="47"/>
        <v/>
      </c>
      <c r="W42" s="11" t="str">
        <f t="shared" si="48"/>
        <v/>
      </c>
      <c r="X42" s="11" t="str">
        <f t="shared" si="49"/>
        <v/>
      </c>
      <c r="Y42" s="11" t="str">
        <f t="shared" si="50"/>
        <v/>
      </c>
      <c r="Z42" s="11" t="str">
        <f t="shared" si="51"/>
        <v/>
      </c>
      <c r="AA42" s="11" t="str">
        <f t="shared" si="52"/>
        <v/>
      </c>
      <c r="AB42" s="11" t="str">
        <f t="shared" si="53"/>
        <v/>
      </c>
      <c r="AC42" s="11" t="str">
        <f t="shared" si="54"/>
        <v/>
      </c>
      <c r="AD42" s="11" t="str">
        <f t="shared" si="55"/>
        <v/>
      </c>
      <c r="AE42" s="11" t="str">
        <f t="shared" si="56"/>
        <v/>
      </c>
      <c r="AF42" s="11" t="str">
        <f t="shared" si="57"/>
        <v/>
      </c>
      <c r="AG42" s="11" t="str">
        <f t="shared" si="58"/>
        <v/>
      </c>
      <c r="AH42" s="11" t="str">
        <f t="shared" si="59"/>
        <v/>
      </c>
      <c r="AI42" s="11" t="str">
        <f t="shared" si="60"/>
        <v/>
      </c>
      <c r="AJ42" s="11" t="str">
        <f t="shared" si="61"/>
        <v/>
      </c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</row>
    <row r="43" spans="1:52" s="10" customFormat="1" x14ac:dyDescent="0.2">
      <c r="A43" s="140"/>
      <c r="B43" s="140"/>
      <c r="C43" s="140"/>
      <c r="D43" s="140"/>
      <c r="E43" s="140"/>
      <c r="F43" s="140"/>
      <c r="G43" s="140"/>
      <c r="H43" s="141">
        <f t="shared" si="7"/>
        <v>109.36681580224499</v>
      </c>
      <c r="I43" s="140">
        <f t="shared" si="37"/>
        <v>2.0936681580224499</v>
      </c>
      <c r="J43" s="143">
        <f t="shared" si="9"/>
        <v>0</v>
      </c>
      <c r="K43" s="140"/>
      <c r="L43" s="140" t="str">
        <f t="shared" si="36"/>
        <v/>
      </c>
      <c r="M43" s="140" t="str">
        <f t="shared" si="38"/>
        <v/>
      </c>
      <c r="N43" s="11" t="str">
        <f t="shared" si="39"/>
        <v/>
      </c>
      <c r="O43" s="11" t="str">
        <f t="shared" si="40"/>
        <v/>
      </c>
      <c r="P43" s="11" t="str">
        <f t="shared" si="41"/>
        <v/>
      </c>
      <c r="Q43" s="11" t="str">
        <f t="shared" si="42"/>
        <v/>
      </c>
      <c r="R43" s="11" t="str">
        <f t="shared" si="43"/>
        <v/>
      </c>
      <c r="S43" s="11" t="str">
        <f t="shared" si="44"/>
        <v/>
      </c>
      <c r="T43" s="11" t="str">
        <f t="shared" si="45"/>
        <v/>
      </c>
      <c r="U43" s="11" t="str">
        <f t="shared" si="46"/>
        <v/>
      </c>
      <c r="V43" s="11" t="str">
        <f t="shared" si="47"/>
        <v/>
      </c>
      <c r="W43" s="11" t="str">
        <f t="shared" si="48"/>
        <v/>
      </c>
      <c r="X43" s="11" t="str">
        <f t="shared" si="49"/>
        <v/>
      </c>
      <c r="Y43" s="11" t="str">
        <f t="shared" si="50"/>
        <v/>
      </c>
      <c r="Z43" s="11" t="str">
        <f t="shared" si="51"/>
        <v/>
      </c>
      <c r="AA43" s="11" t="str">
        <f t="shared" si="52"/>
        <v/>
      </c>
      <c r="AB43" s="11" t="str">
        <f t="shared" si="53"/>
        <v/>
      </c>
      <c r="AC43" s="11" t="str">
        <f t="shared" si="54"/>
        <v/>
      </c>
      <c r="AD43" s="11" t="str">
        <f t="shared" si="55"/>
        <v/>
      </c>
      <c r="AE43" s="11" t="str">
        <f t="shared" si="56"/>
        <v/>
      </c>
      <c r="AF43" s="11" t="str">
        <f t="shared" si="57"/>
        <v/>
      </c>
      <c r="AG43" s="11" t="str">
        <f t="shared" si="58"/>
        <v/>
      </c>
      <c r="AH43" s="11" t="str">
        <f t="shared" si="59"/>
        <v/>
      </c>
      <c r="AI43" s="11" t="str">
        <f t="shared" si="60"/>
        <v/>
      </c>
      <c r="AJ43" s="11" t="str">
        <f t="shared" si="61"/>
        <v/>
      </c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</row>
    <row r="44" spans="1:52" s="10" customFormat="1" x14ac:dyDescent="0.2">
      <c r="A44" s="140"/>
      <c r="B44" s="140"/>
      <c r="C44" s="140"/>
      <c r="D44" s="140"/>
      <c r="E44" s="140"/>
      <c r="F44" s="140"/>
      <c r="G44" s="140"/>
      <c r="H44" s="141">
        <f t="shared" si="7"/>
        <v>114.03308067288108</v>
      </c>
      <c r="I44" s="140">
        <f t="shared" si="37"/>
        <v>2.1403308067288109</v>
      </c>
      <c r="J44" s="143">
        <f t="shared" si="9"/>
        <v>0</v>
      </c>
      <c r="K44" s="140"/>
      <c r="L44" s="140" t="str">
        <f t="shared" si="36"/>
        <v/>
      </c>
      <c r="M44" s="140" t="str">
        <f t="shared" si="38"/>
        <v/>
      </c>
      <c r="N44" s="11" t="str">
        <f t="shared" si="39"/>
        <v/>
      </c>
      <c r="O44" s="11" t="str">
        <f t="shared" si="40"/>
        <v/>
      </c>
      <c r="P44" s="11" t="str">
        <f t="shared" si="41"/>
        <v/>
      </c>
      <c r="Q44" s="11" t="str">
        <f t="shared" si="42"/>
        <v/>
      </c>
      <c r="R44" s="11" t="str">
        <f t="shared" si="43"/>
        <v/>
      </c>
      <c r="S44" s="11" t="str">
        <f t="shared" si="44"/>
        <v/>
      </c>
      <c r="T44" s="11" t="str">
        <f t="shared" si="45"/>
        <v/>
      </c>
      <c r="U44" s="11" t="str">
        <f t="shared" si="46"/>
        <v/>
      </c>
      <c r="V44" s="11" t="str">
        <f t="shared" si="47"/>
        <v/>
      </c>
      <c r="W44" s="11" t="str">
        <f t="shared" si="48"/>
        <v/>
      </c>
      <c r="X44" s="11" t="str">
        <f t="shared" si="49"/>
        <v/>
      </c>
      <c r="Y44" s="11" t="str">
        <f t="shared" si="50"/>
        <v/>
      </c>
      <c r="Z44" s="11" t="str">
        <f t="shared" si="51"/>
        <v/>
      </c>
      <c r="AA44" s="11" t="str">
        <f t="shared" si="52"/>
        <v/>
      </c>
      <c r="AB44" s="11" t="str">
        <f t="shared" si="53"/>
        <v/>
      </c>
      <c r="AC44" s="11" t="str">
        <f t="shared" si="54"/>
        <v/>
      </c>
      <c r="AD44" s="11" t="str">
        <f t="shared" si="55"/>
        <v/>
      </c>
      <c r="AE44" s="11" t="str">
        <f t="shared" si="56"/>
        <v/>
      </c>
      <c r="AF44" s="11" t="str">
        <f t="shared" si="57"/>
        <v/>
      </c>
      <c r="AG44" s="11" t="str">
        <f t="shared" si="58"/>
        <v/>
      </c>
      <c r="AH44" s="11" t="str">
        <f t="shared" si="59"/>
        <v/>
      </c>
      <c r="AI44" s="11" t="str">
        <f t="shared" si="60"/>
        <v/>
      </c>
      <c r="AJ44" s="11" t="str">
        <f t="shared" si="61"/>
        <v/>
      </c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</row>
    <row r="45" spans="1:52" s="10" customFormat="1" x14ac:dyDescent="0.2">
      <c r="A45" s="140"/>
      <c r="B45" s="140"/>
      <c r="C45" s="140"/>
      <c r="D45" s="140"/>
      <c r="E45" s="140"/>
      <c r="F45" s="140"/>
      <c r="G45" s="140"/>
      <c r="H45" s="141">
        <f t="shared" si="7"/>
        <v>118.69934554351721</v>
      </c>
      <c r="I45" s="140">
        <f t="shared" si="37"/>
        <v>2.186993455435172</v>
      </c>
      <c r="J45" s="143">
        <f t="shared" si="9"/>
        <v>2.2277235984802253E-2</v>
      </c>
      <c r="K45" s="140"/>
      <c r="L45" s="140" t="str">
        <f t="shared" si="36"/>
        <v/>
      </c>
      <c r="M45" s="140" t="str">
        <f t="shared" si="38"/>
        <v/>
      </c>
      <c r="N45" s="11" t="str">
        <f t="shared" si="39"/>
        <v/>
      </c>
      <c r="O45" s="11" t="str">
        <f t="shared" si="40"/>
        <v/>
      </c>
      <c r="P45" s="11" t="str">
        <f t="shared" si="41"/>
        <v/>
      </c>
      <c r="Q45" s="11" t="str">
        <f t="shared" si="42"/>
        <v/>
      </c>
      <c r="R45" s="11" t="str">
        <f t="shared" si="43"/>
        <v/>
      </c>
      <c r="S45" s="11" t="str">
        <f t="shared" si="44"/>
        <v/>
      </c>
      <c r="T45" s="11" t="str">
        <f t="shared" si="45"/>
        <v/>
      </c>
      <c r="U45" s="11" t="str">
        <f t="shared" si="46"/>
        <v/>
      </c>
      <c r="V45" s="11" t="str">
        <f t="shared" si="47"/>
        <v/>
      </c>
      <c r="W45" s="11" t="str">
        <f t="shared" si="48"/>
        <v/>
      </c>
      <c r="X45" s="11" t="str">
        <f t="shared" si="49"/>
        <v/>
      </c>
      <c r="Y45" s="11" t="str">
        <f t="shared" si="50"/>
        <v/>
      </c>
      <c r="Z45" s="11" t="str">
        <f t="shared" si="51"/>
        <v/>
      </c>
      <c r="AA45" s="11" t="str">
        <f t="shared" si="52"/>
        <v/>
      </c>
      <c r="AB45" s="11" t="str">
        <f t="shared" si="53"/>
        <v/>
      </c>
      <c r="AC45" s="11" t="str">
        <f t="shared" si="54"/>
        <v/>
      </c>
      <c r="AD45" s="11" t="str">
        <f t="shared" si="55"/>
        <v/>
      </c>
      <c r="AE45" s="11" t="str">
        <f t="shared" si="56"/>
        <v/>
      </c>
      <c r="AF45" s="11">
        <f t="shared" si="57"/>
        <v>2.2277235984802252E-4</v>
      </c>
      <c r="AG45" s="11" t="str">
        <f t="shared" si="58"/>
        <v/>
      </c>
      <c r="AH45" s="11" t="str">
        <f t="shared" si="59"/>
        <v/>
      </c>
      <c r="AI45" s="11" t="str">
        <f t="shared" si="60"/>
        <v/>
      </c>
      <c r="AJ45" s="11" t="str">
        <f t="shared" si="61"/>
        <v/>
      </c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</row>
    <row r="46" spans="1:52" s="10" customFormat="1" x14ac:dyDescent="0.2">
      <c r="A46" s="140"/>
      <c r="B46" s="140"/>
      <c r="C46" s="140"/>
      <c r="D46" s="140"/>
      <c r="E46" s="140"/>
      <c r="F46" s="140"/>
      <c r="G46" s="140"/>
      <c r="H46" s="141">
        <f t="shared" si="7"/>
        <v>123.36561041415331</v>
      </c>
      <c r="I46" s="140">
        <f t="shared" si="37"/>
        <v>2.233656104141533</v>
      </c>
      <c r="J46" s="143">
        <f t="shared" si="9"/>
        <v>0</v>
      </c>
      <c r="K46" s="140"/>
      <c r="L46" s="140" t="str">
        <f t="shared" si="36"/>
        <v/>
      </c>
      <c r="M46" s="140" t="str">
        <f t="shared" si="38"/>
        <v/>
      </c>
      <c r="N46" s="11" t="str">
        <f t="shared" si="39"/>
        <v/>
      </c>
      <c r="O46" s="11" t="str">
        <f t="shared" si="40"/>
        <v/>
      </c>
      <c r="P46" s="11" t="str">
        <f t="shared" si="41"/>
        <v/>
      </c>
      <c r="Q46" s="11" t="str">
        <f t="shared" si="42"/>
        <v/>
      </c>
      <c r="R46" s="11" t="str">
        <f t="shared" si="43"/>
        <v/>
      </c>
      <c r="S46" s="11" t="str">
        <f t="shared" si="44"/>
        <v/>
      </c>
      <c r="T46" s="11" t="str">
        <f t="shared" si="45"/>
        <v/>
      </c>
      <c r="U46" s="11" t="str">
        <f t="shared" si="46"/>
        <v/>
      </c>
      <c r="V46" s="11" t="str">
        <f t="shared" si="47"/>
        <v/>
      </c>
      <c r="W46" s="11" t="str">
        <f t="shared" si="48"/>
        <v/>
      </c>
      <c r="X46" s="11" t="str">
        <f t="shared" si="49"/>
        <v/>
      </c>
      <c r="Y46" s="11" t="str">
        <f t="shared" si="50"/>
        <v/>
      </c>
      <c r="Z46" s="11" t="str">
        <f t="shared" si="51"/>
        <v/>
      </c>
      <c r="AA46" s="11" t="str">
        <f t="shared" si="52"/>
        <v/>
      </c>
      <c r="AB46" s="11" t="str">
        <f t="shared" si="53"/>
        <v/>
      </c>
      <c r="AC46" s="11" t="str">
        <f t="shared" si="54"/>
        <v/>
      </c>
      <c r="AD46" s="11" t="str">
        <f t="shared" si="55"/>
        <v/>
      </c>
      <c r="AE46" s="11" t="str">
        <f t="shared" si="56"/>
        <v/>
      </c>
      <c r="AF46" s="11" t="str">
        <f t="shared" si="57"/>
        <v/>
      </c>
      <c r="AG46" s="11" t="str">
        <f t="shared" si="58"/>
        <v/>
      </c>
      <c r="AH46" s="11" t="str">
        <f t="shared" si="59"/>
        <v/>
      </c>
      <c r="AI46" s="11" t="str">
        <f t="shared" si="60"/>
        <v/>
      </c>
      <c r="AJ46" s="11" t="str">
        <f t="shared" si="61"/>
        <v/>
      </c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</row>
    <row r="47" spans="1:52" s="10" customFormat="1" x14ac:dyDescent="0.2">
      <c r="A47" s="140"/>
      <c r="B47" s="140"/>
      <c r="C47" s="140"/>
      <c r="D47" s="140"/>
      <c r="E47" s="140"/>
      <c r="F47" s="140"/>
      <c r="G47" s="140"/>
      <c r="H47" s="141">
        <f t="shared" si="7"/>
        <v>128.03187528478941</v>
      </c>
      <c r="I47" s="140">
        <f t="shared" si="37"/>
        <v>2.2803187528478941</v>
      </c>
      <c r="J47" s="143">
        <f t="shared" si="9"/>
        <v>0</v>
      </c>
      <c r="K47" s="140"/>
      <c r="L47" s="140" t="str">
        <f t="shared" si="36"/>
        <v/>
      </c>
      <c r="M47" s="140" t="str">
        <f t="shared" si="38"/>
        <v/>
      </c>
      <c r="N47" s="11" t="str">
        <f t="shared" si="39"/>
        <v/>
      </c>
      <c r="O47" s="11" t="str">
        <f t="shared" si="40"/>
        <v/>
      </c>
      <c r="P47" s="11" t="str">
        <f t="shared" si="41"/>
        <v/>
      </c>
      <c r="Q47" s="11" t="str">
        <f t="shared" si="42"/>
        <v/>
      </c>
      <c r="R47" s="11" t="str">
        <f t="shared" si="43"/>
        <v/>
      </c>
      <c r="S47" s="11" t="str">
        <f t="shared" si="44"/>
        <v/>
      </c>
      <c r="T47" s="11" t="str">
        <f t="shared" si="45"/>
        <v/>
      </c>
      <c r="U47" s="11" t="str">
        <f t="shared" si="46"/>
        <v/>
      </c>
      <c r="V47" s="11" t="str">
        <f t="shared" si="47"/>
        <v/>
      </c>
      <c r="W47" s="11" t="str">
        <f t="shared" si="48"/>
        <v/>
      </c>
      <c r="X47" s="11" t="str">
        <f t="shared" si="49"/>
        <v/>
      </c>
      <c r="Y47" s="11" t="str">
        <f t="shared" si="50"/>
        <v/>
      </c>
      <c r="Z47" s="11" t="str">
        <f t="shared" si="51"/>
        <v/>
      </c>
      <c r="AA47" s="11" t="str">
        <f t="shared" si="52"/>
        <v/>
      </c>
      <c r="AB47" s="11" t="str">
        <f t="shared" si="53"/>
        <v/>
      </c>
      <c r="AC47" s="11" t="str">
        <f t="shared" si="54"/>
        <v/>
      </c>
      <c r="AD47" s="11" t="str">
        <f t="shared" si="55"/>
        <v/>
      </c>
      <c r="AE47" s="11" t="str">
        <f t="shared" si="56"/>
        <v/>
      </c>
      <c r="AF47" s="11" t="str">
        <f t="shared" si="57"/>
        <v/>
      </c>
      <c r="AG47" s="11" t="str">
        <f t="shared" si="58"/>
        <v/>
      </c>
      <c r="AH47" s="11" t="str">
        <f t="shared" si="59"/>
        <v/>
      </c>
      <c r="AI47" s="11" t="str">
        <f t="shared" si="60"/>
        <v/>
      </c>
      <c r="AJ47" s="11" t="str">
        <f t="shared" si="61"/>
        <v/>
      </c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</row>
    <row r="48" spans="1:52" s="10" customFormat="1" x14ac:dyDescent="0.2">
      <c r="A48" s="140"/>
      <c r="B48" s="140"/>
      <c r="C48" s="140"/>
      <c r="D48" s="140"/>
      <c r="E48" s="140"/>
      <c r="F48" s="140"/>
      <c r="G48" s="140"/>
      <c r="H48" s="141">
        <f t="shared" si="7"/>
        <v>132.69814015542551</v>
      </c>
      <c r="I48" s="140">
        <f t="shared" si="37"/>
        <v>2.3269814015542551</v>
      </c>
      <c r="J48" s="143">
        <f t="shared" si="9"/>
        <v>0</v>
      </c>
      <c r="K48" s="140"/>
      <c r="L48" s="140" t="str">
        <f t="shared" si="36"/>
        <v/>
      </c>
      <c r="M48" s="140" t="str">
        <f t="shared" si="38"/>
        <v/>
      </c>
      <c r="N48" s="11" t="str">
        <f t="shared" si="39"/>
        <v/>
      </c>
      <c r="O48" s="11" t="str">
        <f t="shared" si="40"/>
        <v/>
      </c>
      <c r="P48" s="11" t="str">
        <f t="shared" si="41"/>
        <v/>
      </c>
      <c r="Q48" s="11" t="str">
        <f t="shared" si="42"/>
        <v/>
      </c>
      <c r="R48" s="11" t="str">
        <f t="shared" si="43"/>
        <v/>
      </c>
      <c r="S48" s="11" t="str">
        <f t="shared" si="44"/>
        <v/>
      </c>
      <c r="T48" s="11" t="str">
        <f t="shared" si="45"/>
        <v/>
      </c>
      <c r="U48" s="11" t="str">
        <f t="shared" si="46"/>
        <v/>
      </c>
      <c r="V48" s="11" t="str">
        <f t="shared" si="47"/>
        <v/>
      </c>
      <c r="W48" s="11" t="str">
        <f t="shared" si="48"/>
        <v/>
      </c>
      <c r="X48" s="11" t="str">
        <f t="shared" si="49"/>
        <v/>
      </c>
      <c r="Y48" s="11" t="str">
        <f t="shared" si="50"/>
        <v/>
      </c>
      <c r="Z48" s="11" t="str">
        <f t="shared" si="51"/>
        <v/>
      </c>
      <c r="AA48" s="11" t="str">
        <f t="shared" si="52"/>
        <v/>
      </c>
      <c r="AB48" s="11" t="str">
        <f t="shared" si="53"/>
        <v/>
      </c>
      <c r="AC48" s="11" t="str">
        <f t="shared" si="54"/>
        <v/>
      </c>
      <c r="AD48" s="11" t="str">
        <f t="shared" si="55"/>
        <v/>
      </c>
      <c r="AE48" s="11" t="str">
        <f t="shared" si="56"/>
        <v/>
      </c>
      <c r="AF48" s="11" t="str">
        <f t="shared" si="57"/>
        <v/>
      </c>
      <c r="AG48" s="11" t="str">
        <f t="shared" si="58"/>
        <v/>
      </c>
      <c r="AH48" s="11" t="str">
        <f t="shared" si="59"/>
        <v/>
      </c>
      <c r="AI48" s="11" t="str">
        <f t="shared" si="60"/>
        <v/>
      </c>
      <c r="AJ48" s="11" t="str">
        <f t="shared" si="61"/>
        <v/>
      </c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</row>
    <row r="49" spans="1:52" s="10" customFormat="1" x14ac:dyDescent="0.2">
      <c r="A49" s="140"/>
      <c r="B49" s="140"/>
      <c r="C49" s="140"/>
      <c r="D49" s="140"/>
      <c r="E49" s="140"/>
      <c r="F49" s="140"/>
      <c r="G49" s="140"/>
      <c r="H49" s="141">
        <f t="shared" si="7"/>
        <v>137.36440502606163</v>
      </c>
      <c r="I49" s="140">
        <f t="shared" si="37"/>
        <v>2.3736440502606162</v>
      </c>
      <c r="J49" s="143">
        <f t="shared" si="9"/>
        <v>3.8743019104003915E-3</v>
      </c>
      <c r="K49" s="140"/>
      <c r="L49" s="140" t="str">
        <f t="shared" si="36"/>
        <v/>
      </c>
      <c r="M49" s="140" t="str">
        <f t="shared" si="38"/>
        <v/>
      </c>
      <c r="N49" s="11" t="str">
        <f t="shared" si="39"/>
        <v/>
      </c>
      <c r="O49" s="11" t="str">
        <f t="shared" si="40"/>
        <v/>
      </c>
      <c r="P49" s="11" t="str">
        <f t="shared" si="41"/>
        <v/>
      </c>
      <c r="Q49" s="11" t="str">
        <f t="shared" si="42"/>
        <v/>
      </c>
      <c r="R49" s="11" t="str">
        <f t="shared" si="43"/>
        <v/>
      </c>
      <c r="S49" s="11" t="str">
        <f t="shared" si="44"/>
        <v/>
      </c>
      <c r="T49" s="11" t="str">
        <f t="shared" si="45"/>
        <v/>
      </c>
      <c r="U49" s="11" t="str">
        <f t="shared" si="46"/>
        <v/>
      </c>
      <c r="V49" s="11" t="str">
        <f t="shared" si="47"/>
        <v/>
      </c>
      <c r="W49" s="11" t="str">
        <f t="shared" si="48"/>
        <v/>
      </c>
      <c r="X49" s="11" t="str">
        <f t="shared" si="49"/>
        <v/>
      </c>
      <c r="Y49" s="11" t="str">
        <f t="shared" si="50"/>
        <v/>
      </c>
      <c r="Z49" s="11" t="str">
        <f t="shared" si="51"/>
        <v/>
      </c>
      <c r="AA49" s="11" t="str">
        <f t="shared" si="52"/>
        <v/>
      </c>
      <c r="AB49" s="11" t="str">
        <f t="shared" si="53"/>
        <v/>
      </c>
      <c r="AC49" s="11" t="str">
        <f t="shared" si="54"/>
        <v/>
      </c>
      <c r="AD49" s="11" t="str">
        <f t="shared" si="55"/>
        <v/>
      </c>
      <c r="AE49" s="11" t="str">
        <f t="shared" si="56"/>
        <v/>
      </c>
      <c r="AF49" s="11" t="str">
        <f t="shared" si="57"/>
        <v/>
      </c>
      <c r="AG49" s="11">
        <f t="shared" si="58"/>
        <v>3.8743019104003913E-5</v>
      </c>
      <c r="AH49" s="11" t="str">
        <f t="shared" si="59"/>
        <v/>
      </c>
      <c r="AI49" s="11" t="str">
        <f t="shared" si="60"/>
        <v/>
      </c>
      <c r="AJ49" s="11" t="str">
        <f t="shared" si="61"/>
        <v/>
      </c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</row>
    <row r="50" spans="1:52" s="10" customFormat="1" x14ac:dyDescent="0.2">
      <c r="A50" s="140"/>
      <c r="B50" s="140"/>
      <c r="C50" s="140"/>
      <c r="D50" s="140"/>
      <c r="E50" s="140"/>
      <c r="F50" s="140"/>
      <c r="G50" s="140"/>
      <c r="H50" s="141">
        <f t="shared" si="7"/>
        <v>142.03066989669773</v>
      </c>
      <c r="I50" s="140">
        <f t="shared" si="37"/>
        <v>2.4203066989669773</v>
      </c>
      <c r="J50" s="143">
        <f t="shared" si="9"/>
        <v>0</v>
      </c>
      <c r="K50" s="140"/>
      <c r="L50" s="140" t="str">
        <f t="shared" si="36"/>
        <v/>
      </c>
      <c r="M50" s="140" t="str">
        <f t="shared" si="38"/>
        <v/>
      </c>
      <c r="N50" s="11" t="str">
        <f t="shared" si="39"/>
        <v/>
      </c>
      <c r="O50" s="11" t="str">
        <f t="shared" si="40"/>
        <v/>
      </c>
      <c r="P50" s="11" t="str">
        <f t="shared" si="41"/>
        <v/>
      </c>
      <c r="Q50" s="11" t="str">
        <f t="shared" si="42"/>
        <v/>
      </c>
      <c r="R50" s="11" t="str">
        <f t="shared" si="43"/>
        <v/>
      </c>
      <c r="S50" s="11" t="str">
        <f t="shared" si="44"/>
        <v/>
      </c>
      <c r="T50" s="11" t="str">
        <f t="shared" si="45"/>
        <v/>
      </c>
      <c r="U50" s="11" t="str">
        <f t="shared" si="46"/>
        <v/>
      </c>
      <c r="V50" s="11" t="str">
        <f t="shared" si="47"/>
        <v/>
      </c>
      <c r="W50" s="11" t="str">
        <f t="shared" si="48"/>
        <v/>
      </c>
      <c r="X50" s="11" t="str">
        <f t="shared" si="49"/>
        <v/>
      </c>
      <c r="Y50" s="11" t="str">
        <f t="shared" si="50"/>
        <v/>
      </c>
      <c r="Z50" s="11" t="str">
        <f t="shared" si="51"/>
        <v/>
      </c>
      <c r="AA50" s="11" t="str">
        <f t="shared" si="52"/>
        <v/>
      </c>
      <c r="AB50" s="11" t="str">
        <f t="shared" si="53"/>
        <v/>
      </c>
      <c r="AC50" s="11" t="str">
        <f t="shared" si="54"/>
        <v/>
      </c>
      <c r="AD50" s="11" t="str">
        <f t="shared" si="55"/>
        <v/>
      </c>
      <c r="AE50" s="11" t="str">
        <f t="shared" si="56"/>
        <v/>
      </c>
      <c r="AF50" s="11" t="str">
        <f t="shared" si="57"/>
        <v/>
      </c>
      <c r="AG50" s="11" t="str">
        <f t="shared" si="58"/>
        <v/>
      </c>
      <c r="AH50" s="11" t="str">
        <f t="shared" si="59"/>
        <v/>
      </c>
      <c r="AI50" s="11" t="str">
        <f t="shared" si="60"/>
        <v/>
      </c>
      <c r="AJ50" s="11" t="str">
        <f t="shared" si="61"/>
        <v/>
      </c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</row>
    <row r="51" spans="1:52" s="10" customFormat="1" x14ac:dyDescent="0.2">
      <c r="A51" s="140"/>
      <c r="B51" s="140"/>
      <c r="C51" s="140"/>
      <c r="D51" s="140"/>
      <c r="E51" s="140"/>
      <c r="F51" s="140"/>
      <c r="G51" s="140"/>
      <c r="H51" s="141">
        <f t="shared" si="7"/>
        <v>146.69693476733383</v>
      </c>
      <c r="I51" s="140">
        <f t="shared" si="37"/>
        <v>2.4669693476733383</v>
      </c>
      <c r="J51" s="143">
        <f t="shared" si="9"/>
        <v>0</v>
      </c>
      <c r="K51" s="140"/>
      <c r="L51" s="140" t="str">
        <f t="shared" si="36"/>
        <v/>
      </c>
      <c r="M51" s="140" t="str">
        <f t="shared" si="38"/>
        <v/>
      </c>
      <c r="N51" s="11" t="str">
        <f t="shared" si="39"/>
        <v/>
      </c>
      <c r="O51" s="11" t="str">
        <f t="shared" si="40"/>
        <v/>
      </c>
      <c r="P51" s="11" t="str">
        <f t="shared" si="41"/>
        <v/>
      </c>
      <c r="Q51" s="11" t="str">
        <f t="shared" si="42"/>
        <v/>
      </c>
      <c r="R51" s="11" t="str">
        <f t="shared" si="43"/>
        <v/>
      </c>
      <c r="S51" s="11" t="str">
        <f t="shared" si="44"/>
        <v/>
      </c>
      <c r="T51" s="11" t="str">
        <f t="shared" si="45"/>
        <v/>
      </c>
      <c r="U51" s="11" t="str">
        <f t="shared" si="46"/>
        <v/>
      </c>
      <c r="V51" s="11" t="str">
        <f t="shared" si="47"/>
        <v/>
      </c>
      <c r="W51" s="11" t="str">
        <f t="shared" si="48"/>
        <v/>
      </c>
      <c r="X51" s="11" t="str">
        <f t="shared" si="49"/>
        <v/>
      </c>
      <c r="Y51" s="11" t="str">
        <f t="shared" si="50"/>
        <v/>
      </c>
      <c r="Z51" s="11" t="str">
        <f t="shared" si="51"/>
        <v/>
      </c>
      <c r="AA51" s="11" t="str">
        <f t="shared" si="52"/>
        <v/>
      </c>
      <c r="AB51" s="11" t="str">
        <f t="shared" si="53"/>
        <v/>
      </c>
      <c r="AC51" s="11" t="str">
        <f t="shared" si="54"/>
        <v/>
      </c>
      <c r="AD51" s="11" t="str">
        <f t="shared" si="55"/>
        <v/>
      </c>
      <c r="AE51" s="11" t="str">
        <f t="shared" si="56"/>
        <v/>
      </c>
      <c r="AF51" s="11" t="str">
        <f t="shared" si="57"/>
        <v/>
      </c>
      <c r="AG51" s="11" t="str">
        <f t="shared" si="58"/>
        <v/>
      </c>
      <c r="AH51" s="11" t="str">
        <f t="shared" si="59"/>
        <v/>
      </c>
      <c r="AI51" s="11" t="str">
        <f t="shared" si="60"/>
        <v/>
      </c>
      <c r="AJ51" s="11" t="str">
        <f t="shared" si="61"/>
        <v/>
      </c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</row>
    <row r="52" spans="1:52" s="10" customFormat="1" x14ac:dyDescent="0.2">
      <c r="A52" s="140"/>
      <c r="B52" s="140"/>
      <c r="C52" s="140"/>
      <c r="D52" s="140"/>
      <c r="E52" s="140"/>
      <c r="F52" s="140"/>
      <c r="G52" s="140"/>
      <c r="H52" s="141">
        <f t="shared" si="7"/>
        <v>151.36319963796993</v>
      </c>
      <c r="I52" s="140">
        <f t="shared" si="37"/>
        <v>2.5136319963796994</v>
      </c>
      <c r="J52" s="143">
        <f t="shared" si="9"/>
        <v>0</v>
      </c>
      <c r="K52" s="140"/>
      <c r="L52" s="140" t="str">
        <f t="shared" si="36"/>
        <v/>
      </c>
      <c r="M52" s="140" t="str">
        <f t="shared" si="38"/>
        <v/>
      </c>
      <c r="N52" s="11" t="str">
        <f t="shared" si="39"/>
        <v/>
      </c>
      <c r="O52" s="11" t="str">
        <f t="shared" si="40"/>
        <v/>
      </c>
      <c r="P52" s="11" t="str">
        <f t="shared" si="41"/>
        <v/>
      </c>
      <c r="Q52" s="11" t="str">
        <f t="shared" si="42"/>
        <v/>
      </c>
      <c r="R52" s="11" t="str">
        <f t="shared" si="43"/>
        <v/>
      </c>
      <c r="S52" s="11" t="str">
        <f t="shared" si="44"/>
        <v/>
      </c>
      <c r="T52" s="11" t="str">
        <f t="shared" si="45"/>
        <v/>
      </c>
      <c r="U52" s="11" t="str">
        <f t="shared" si="46"/>
        <v/>
      </c>
      <c r="V52" s="11" t="str">
        <f t="shared" si="47"/>
        <v/>
      </c>
      <c r="W52" s="11" t="str">
        <f t="shared" si="48"/>
        <v/>
      </c>
      <c r="X52" s="11" t="str">
        <f t="shared" si="49"/>
        <v/>
      </c>
      <c r="Y52" s="11" t="str">
        <f t="shared" si="50"/>
        <v/>
      </c>
      <c r="Z52" s="11" t="str">
        <f t="shared" si="51"/>
        <v/>
      </c>
      <c r="AA52" s="11" t="str">
        <f t="shared" si="52"/>
        <v/>
      </c>
      <c r="AB52" s="11" t="str">
        <f t="shared" si="53"/>
        <v/>
      </c>
      <c r="AC52" s="11" t="str">
        <f t="shared" si="54"/>
        <v/>
      </c>
      <c r="AD52" s="11" t="str">
        <f t="shared" si="55"/>
        <v/>
      </c>
      <c r="AE52" s="11" t="str">
        <f t="shared" si="56"/>
        <v/>
      </c>
      <c r="AF52" s="11" t="str">
        <f t="shared" si="57"/>
        <v/>
      </c>
      <c r="AG52" s="11" t="str">
        <f t="shared" si="58"/>
        <v/>
      </c>
      <c r="AH52" s="11" t="str">
        <f t="shared" si="59"/>
        <v/>
      </c>
      <c r="AI52" s="11" t="str">
        <f t="shared" si="60"/>
        <v/>
      </c>
      <c r="AJ52" s="11" t="str">
        <f t="shared" si="61"/>
        <v/>
      </c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</row>
    <row r="53" spans="1:52" s="10" customFormat="1" x14ac:dyDescent="0.2">
      <c r="A53" s="140"/>
      <c r="B53" s="140"/>
      <c r="C53" s="140"/>
      <c r="D53" s="140"/>
      <c r="E53" s="140"/>
      <c r="F53" s="140"/>
      <c r="G53" s="140"/>
      <c r="H53" s="141">
        <f t="shared" si="7"/>
        <v>156.02946450860605</v>
      </c>
      <c r="I53" s="140">
        <f t="shared" si="37"/>
        <v>2.5602946450860604</v>
      </c>
      <c r="J53" s="143">
        <f t="shared" si="9"/>
        <v>0</v>
      </c>
      <c r="K53" s="140"/>
      <c r="L53" s="140" t="str">
        <f t="shared" si="36"/>
        <v/>
      </c>
      <c r="M53" s="140" t="str">
        <f t="shared" si="38"/>
        <v/>
      </c>
      <c r="N53" s="11" t="str">
        <f t="shared" si="39"/>
        <v/>
      </c>
      <c r="O53" s="11" t="str">
        <f t="shared" si="40"/>
        <v/>
      </c>
      <c r="P53" s="11" t="str">
        <f t="shared" si="41"/>
        <v/>
      </c>
      <c r="Q53" s="11" t="str">
        <f t="shared" si="42"/>
        <v/>
      </c>
      <c r="R53" s="11" t="str">
        <f t="shared" si="43"/>
        <v/>
      </c>
      <c r="S53" s="11" t="str">
        <f t="shared" si="44"/>
        <v/>
      </c>
      <c r="T53" s="11" t="str">
        <f t="shared" si="45"/>
        <v/>
      </c>
      <c r="U53" s="11" t="str">
        <f t="shared" si="46"/>
        <v/>
      </c>
      <c r="V53" s="11" t="str">
        <f t="shared" si="47"/>
        <v/>
      </c>
      <c r="W53" s="11" t="str">
        <f t="shared" si="48"/>
        <v/>
      </c>
      <c r="X53" s="11" t="str">
        <f t="shared" si="49"/>
        <v/>
      </c>
      <c r="Y53" s="11" t="str">
        <f t="shared" si="50"/>
        <v/>
      </c>
      <c r="Z53" s="11" t="str">
        <f t="shared" si="51"/>
        <v/>
      </c>
      <c r="AA53" s="11" t="str">
        <f t="shared" si="52"/>
        <v/>
      </c>
      <c r="AB53" s="11" t="str">
        <f t="shared" si="53"/>
        <v/>
      </c>
      <c r="AC53" s="11" t="str">
        <f t="shared" si="54"/>
        <v/>
      </c>
      <c r="AD53" s="11" t="str">
        <f t="shared" si="55"/>
        <v/>
      </c>
      <c r="AE53" s="11" t="str">
        <f t="shared" si="56"/>
        <v/>
      </c>
      <c r="AF53" s="11" t="str">
        <f t="shared" si="57"/>
        <v/>
      </c>
      <c r="AG53" s="11" t="str">
        <f t="shared" si="58"/>
        <v/>
      </c>
      <c r="AH53" s="11" t="str">
        <f t="shared" si="59"/>
        <v/>
      </c>
      <c r="AI53" s="11" t="str">
        <f t="shared" si="60"/>
        <v/>
      </c>
      <c r="AJ53" s="11" t="str">
        <f t="shared" si="61"/>
        <v/>
      </c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</row>
    <row r="54" spans="1:52" s="10" customFormat="1" x14ac:dyDescent="0.2">
      <c r="A54" s="140"/>
      <c r="B54" s="140"/>
      <c r="C54" s="140"/>
      <c r="D54" s="140"/>
      <c r="E54" s="140"/>
      <c r="F54" s="140"/>
      <c r="G54" s="140"/>
      <c r="H54" s="141">
        <f t="shared" si="7"/>
        <v>160.69572937924215</v>
      </c>
      <c r="I54" s="140">
        <f t="shared" si="37"/>
        <v>2.6069572937924215</v>
      </c>
      <c r="J54" s="143">
        <f t="shared" si="9"/>
        <v>4.8428773880004894E-4</v>
      </c>
      <c r="K54" s="140"/>
      <c r="L54" s="140" t="str">
        <f t="shared" si="36"/>
        <v/>
      </c>
      <c r="M54" s="140" t="str">
        <f t="shared" si="38"/>
        <v/>
      </c>
      <c r="N54" s="11" t="str">
        <f t="shared" si="39"/>
        <v/>
      </c>
      <c r="O54" s="11" t="str">
        <f t="shared" si="40"/>
        <v/>
      </c>
      <c r="P54" s="11" t="str">
        <f t="shared" si="41"/>
        <v/>
      </c>
      <c r="Q54" s="11" t="str">
        <f t="shared" si="42"/>
        <v/>
      </c>
      <c r="R54" s="11" t="str">
        <f t="shared" si="43"/>
        <v/>
      </c>
      <c r="S54" s="11" t="str">
        <f t="shared" si="44"/>
        <v/>
      </c>
      <c r="T54" s="11" t="str">
        <f t="shared" si="45"/>
        <v/>
      </c>
      <c r="U54" s="11" t="str">
        <f t="shared" si="46"/>
        <v/>
      </c>
      <c r="V54" s="11" t="str">
        <f t="shared" si="47"/>
        <v/>
      </c>
      <c r="W54" s="11" t="str">
        <f t="shared" si="48"/>
        <v/>
      </c>
      <c r="X54" s="11" t="str">
        <f t="shared" si="49"/>
        <v/>
      </c>
      <c r="Y54" s="11" t="str">
        <f t="shared" si="50"/>
        <v/>
      </c>
      <c r="Z54" s="11" t="str">
        <f t="shared" si="51"/>
        <v/>
      </c>
      <c r="AA54" s="11" t="str">
        <f t="shared" si="52"/>
        <v/>
      </c>
      <c r="AB54" s="11" t="str">
        <f t="shared" si="53"/>
        <v/>
      </c>
      <c r="AC54" s="11" t="str">
        <f t="shared" si="54"/>
        <v/>
      </c>
      <c r="AD54" s="11" t="str">
        <f t="shared" si="55"/>
        <v/>
      </c>
      <c r="AE54" s="11" t="str">
        <f t="shared" si="56"/>
        <v/>
      </c>
      <c r="AF54" s="11" t="str">
        <f t="shared" si="57"/>
        <v/>
      </c>
      <c r="AG54" s="11" t="str">
        <f t="shared" si="58"/>
        <v/>
      </c>
      <c r="AH54" s="11">
        <f t="shared" si="59"/>
        <v>4.8428773880004891E-6</v>
      </c>
      <c r="AI54" s="11" t="str">
        <f t="shared" si="60"/>
        <v/>
      </c>
      <c r="AJ54" s="11" t="str">
        <f t="shared" si="61"/>
        <v/>
      </c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</row>
    <row r="55" spans="1:52" s="10" customFormat="1" x14ac:dyDescent="0.2">
      <c r="A55" s="140"/>
      <c r="B55" s="140"/>
      <c r="C55" s="140"/>
      <c r="D55" s="140"/>
      <c r="E55" s="140"/>
      <c r="F55" s="140"/>
      <c r="G55" s="140"/>
      <c r="H55" s="141">
        <f t="shared" si="7"/>
        <v>165.36199424987825</v>
      </c>
      <c r="I55" s="140">
        <f t="shared" si="37"/>
        <v>2.6536199424987825</v>
      </c>
      <c r="J55" s="143">
        <f t="shared" si="9"/>
        <v>0</v>
      </c>
      <c r="K55" s="140"/>
      <c r="L55" s="140" t="str">
        <f t="shared" si="36"/>
        <v/>
      </c>
      <c r="M55" s="140" t="str">
        <f t="shared" si="38"/>
        <v/>
      </c>
      <c r="N55" s="11" t="str">
        <f t="shared" si="39"/>
        <v/>
      </c>
      <c r="O55" s="11" t="str">
        <f t="shared" si="40"/>
        <v/>
      </c>
      <c r="P55" s="11" t="str">
        <f t="shared" si="41"/>
        <v/>
      </c>
      <c r="Q55" s="11" t="str">
        <f t="shared" si="42"/>
        <v/>
      </c>
      <c r="R55" s="11" t="str">
        <f t="shared" si="43"/>
        <v/>
      </c>
      <c r="S55" s="11" t="str">
        <f t="shared" si="44"/>
        <v/>
      </c>
      <c r="T55" s="11" t="str">
        <f t="shared" si="45"/>
        <v/>
      </c>
      <c r="U55" s="11" t="str">
        <f t="shared" si="46"/>
        <v/>
      </c>
      <c r="V55" s="11" t="str">
        <f t="shared" si="47"/>
        <v/>
      </c>
      <c r="W55" s="11" t="str">
        <f t="shared" si="48"/>
        <v/>
      </c>
      <c r="X55" s="11" t="str">
        <f t="shared" si="49"/>
        <v/>
      </c>
      <c r="Y55" s="11" t="str">
        <f t="shared" si="50"/>
        <v/>
      </c>
      <c r="Z55" s="11" t="str">
        <f t="shared" si="51"/>
        <v/>
      </c>
      <c r="AA55" s="11" t="str">
        <f t="shared" si="52"/>
        <v/>
      </c>
      <c r="AB55" s="11" t="str">
        <f t="shared" si="53"/>
        <v/>
      </c>
      <c r="AC55" s="11" t="str">
        <f t="shared" si="54"/>
        <v/>
      </c>
      <c r="AD55" s="11" t="str">
        <f t="shared" si="55"/>
        <v/>
      </c>
      <c r="AE55" s="11" t="str">
        <f t="shared" si="56"/>
        <v/>
      </c>
      <c r="AF55" s="11" t="str">
        <f t="shared" si="57"/>
        <v/>
      </c>
      <c r="AG55" s="11" t="str">
        <f t="shared" si="58"/>
        <v/>
      </c>
      <c r="AH55" s="11" t="str">
        <f t="shared" si="59"/>
        <v/>
      </c>
      <c r="AI55" s="11" t="str">
        <f t="shared" si="60"/>
        <v/>
      </c>
      <c r="AJ55" s="11" t="str">
        <f t="shared" si="61"/>
        <v/>
      </c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</row>
    <row r="56" spans="1:52" s="10" customFormat="1" x14ac:dyDescent="0.2">
      <c r="A56" s="140"/>
      <c r="B56" s="140"/>
      <c r="C56" s="140"/>
      <c r="D56" s="140"/>
      <c r="E56" s="140"/>
      <c r="F56" s="140"/>
      <c r="G56" s="140"/>
      <c r="H56" s="141">
        <f t="shared" si="7"/>
        <v>170.02825912051435</v>
      </c>
      <c r="I56" s="140">
        <f t="shared" si="37"/>
        <v>2.7002825912051436</v>
      </c>
      <c r="J56" s="143">
        <f t="shared" si="9"/>
        <v>0</v>
      </c>
      <c r="K56" s="140"/>
      <c r="L56" s="140" t="str">
        <f t="shared" si="36"/>
        <v/>
      </c>
      <c r="M56" s="140" t="str">
        <f t="shared" si="38"/>
        <v/>
      </c>
      <c r="N56" s="11" t="str">
        <f t="shared" si="39"/>
        <v/>
      </c>
      <c r="O56" s="11" t="str">
        <f t="shared" si="40"/>
        <v/>
      </c>
      <c r="P56" s="11" t="str">
        <f t="shared" si="41"/>
        <v/>
      </c>
      <c r="Q56" s="11" t="str">
        <f t="shared" si="42"/>
        <v/>
      </c>
      <c r="R56" s="11" t="str">
        <f t="shared" si="43"/>
        <v/>
      </c>
      <c r="S56" s="11" t="str">
        <f t="shared" si="44"/>
        <v/>
      </c>
      <c r="T56" s="11" t="str">
        <f t="shared" si="45"/>
        <v/>
      </c>
      <c r="U56" s="11" t="str">
        <f t="shared" si="46"/>
        <v/>
      </c>
      <c r="V56" s="11" t="str">
        <f t="shared" si="47"/>
        <v/>
      </c>
      <c r="W56" s="11" t="str">
        <f t="shared" si="48"/>
        <v/>
      </c>
      <c r="X56" s="11" t="str">
        <f t="shared" si="49"/>
        <v/>
      </c>
      <c r="Y56" s="11" t="str">
        <f t="shared" si="50"/>
        <v/>
      </c>
      <c r="Z56" s="11" t="str">
        <f t="shared" si="51"/>
        <v/>
      </c>
      <c r="AA56" s="11" t="str">
        <f t="shared" si="52"/>
        <v/>
      </c>
      <c r="AB56" s="11" t="str">
        <f t="shared" si="53"/>
        <v/>
      </c>
      <c r="AC56" s="11" t="str">
        <f t="shared" si="54"/>
        <v/>
      </c>
      <c r="AD56" s="11" t="str">
        <f t="shared" si="55"/>
        <v/>
      </c>
      <c r="AE56" s="11" t="str">
        <f t="shared" si="56"/>
        <v/>
      </c>
      <c r="AF56" s="11" t="str">
        <f t="shared" si="57"/>
        <v/>
      </c>
      <c r="AG56" s="11" t="str">
        <f t="shared" si="58"/>
        <v/>
      </c>
      <c r="AH56" s="11" t="str">
        <f t="shared" si="59"/>
        <v/>
      </c>
      <c r="AI56" s="11" t="str">
        <f t="shared" si="60"/>
        <v/>
      </c>
      <c r="AJ56" s="11" t="str">
        <f t="shared" si="61"/>
        <v/>
      </c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</row>
    <row r="57" spans="1:52" s="10" customFormat="1" x14ac:dyDescent="0.2">
      <c r="A57" s="140"/>
      <c r="B57" s="140"/>
      <c r="C57" s="140"/>
      <c r="D57" s="140"/>
      <c r="E57" s="140"/>
      <c r="F57" s="140"/>
      <c r="G57" s="140"/>
      <c r="H57" s="141">
        <f t="shared" si="7"/>
        <v>174.69452399115045</v>
      </c>
      <c r="I57" s="140">
        <f t="shared" si="37"/>
        <v>2.7469452399115046</v>
      </c>
      <c r="J57" s="143">
        <f t="shared" si="9"/>
        <v>0</v>
      </c>
      <c r="K57" s="140"/>
      <c r="L57" s="140" t="str">
        <f t="shared" si="36"/>
        <v/>
      </c>
      <c r="M57" s="140" t="str">
        <f t="shared" si="38"/>
        <v/>
      </c>
      <c r="N57" s="11" t="str">
        <f t="shared" si="39"/>
        <v/>
      </c>
      <c r="O57" s="11" t="str">
        <f t="shared" si="40"/>
        <v/>
      </c>
      <c r="P57" s="11" t="str">
        <f t="shared" si="41"/>
        <v/>
      </c>
      <c r="Q57" s="11" t="str">
        <f t="shared" si="42"/>
        <v/>
      </c>
      <c r="R57" s="11" t="str">
        <f t="shared" si="43"/>
        <v/>
      </c>
      <c r="S57" s="11" t="str">
        <f t="shared" si="44"/>
        <v/>
      </c>
      <c r="T57" s="11" t="str">
        <f t="shared" si="45"/>
        <v/>
      </c>
      <c r="U57" s="11" t="str">
        <f t="shared" si="46"/>
        <v/>
      </c>
      <c r="V57" s="11" t="str">
        <f t="shared" si="47"/>
        <v/>
      </c>
      <c r="W57" s="11" t="str">
        <f t="shared" si="48"/>
        <v/>
      </c>
      <c r="X57" s="11" t="str">
        <f t="shared" si="49"/>
        <v/>
      </c>
      <c r="Y57" s="11" t="str">
        <f t="shared" si="50"/>
        <v/>
      </c>
      <c r="Z57" s="11" t="str">
        <f t="shared" si="51"/>
        <v/>
      </c>
      <c r="AA57" s="11" t="str">
        <f t="shared" si="52"/>
        <v/>
      </c>
      <c r="AB57" s="11" t="str">
        <f t="shared" si="53"/>
        <v/>
      </c>
      <c r="AC57" s="11" t="str">
        <f t="shared" si="54"/>
        <v/>
      </c>
      <c r="AD57" s="11" t="str">
        <f t="shared" si="55"/>
        <v/>
      </c>
      <c r="AE57" s="11" t="str">
        <f t="shared" si="56"/>
        <v/>
      </c>
      <c r="AF57" s="11" t="str">
        <f t="shared" si="57"/>
        <v/>
      </c>
      <c r="AG57" s="11" t="str">
        <f t="shared" si="58"/>
        <v/>
      </c>
      <c r="AH57" s="11" t="str">
        <f t="shared" si="59"/>
        <v/>
      </c>
      <c r="AI57" s="11" t="str">
        <f t="shared" si="60"/>
        <v/>
      </c>
      <c r="AJ57" s="11" t="str">
        <f t="shared" si="61"/>
        <v/>
      </c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</row>
    <row r="58" spans="1:52" s="10" customFormat="1" x14ac:dyDescent="0.2">
      <c r="A58" s="140"/>
      <c r="B58" s="140"/>
      <c r="C58" s="140"/>
      <c r="D58" s="140"/>
      <c r="E58" s="140"/>
      <c r="F58" s="140"/>
      <c r="G58" s="140"/>
      <c r="H58" s="141">
        <f t="shared" si="7"/>
        <v>179.36078886178655</v>
      </c>
      <c r="I58" s="140">
        <f t="shared" si="37"/>
        <v>2.7936078886178657</v>
      </c>
      <c r="J58" s="143">
        <f t="shared" si="9"/>
        <v>0</v>
      </c>
      <c r="K58" s="140"/>
      <c r="L58" s="140" t="str">
        <f t="shared" si="36"/>
        <v/>
      </c>
      <c r="M58" s="140" t="str">
        <f t="shared" si="38"/>
        <v/>
      </c>
      <c r="N58" s="11" t="str">
        <f t="shared" si="39"/>
        <v/>
      </c>
      <c r="O58" s="11" t="str">
        <f t="shared" si="40"/>
        <v/>
      </c>
      <c r="P58" s="11" t="str">
        <f t="shared" si="41"/>
        <v/>
      </c>
      <c r="Q58" s="11" t="str">
        <f t="shared" si="42"/>
        <v/>
      </c>
      <c r="R58" s="11" t="str">
        <f t="shared" si="43"/>
        <v/>
      </c>
      <c r="S58" s="11" t="str">
        <f t="shared" si="44"/>
        <v/>
      </c>
      <c r="T58" s="11" t="str">
        <f t="shared" si="45"/>
        <v/>
      </c>
      <c r="U58" s="11" t="str">
        <f t="shared" si="46"/>
        <v/>
      </c>
      <c r="V58" s="11" t="str">
        <f t="shared" si="47"/>
        <v/>
      </c>
      <c r="W58" s="11" t="str">
        <f t="shared" si="48"/>
        <v/>
      </c>
      <c r="X58" s="11" t="str">
        <f t="shared" si="49"/>
        <v/>
      </c>
      <c r="Y58" s="11" t="str">
        <f t="shared" si="50"/>
        <v/>
      </c>
      <c r="Z58" s="11" t="str">
        <f t="shared" si="51"/>
        <v/>
      </c>
      <c r="AA58" s="11" t="str">
        <f t="shared" si="52"/>
        <v/>
      </c>
      <c r="AB58" s="11" t="str">
        <f t="shared" si="53"/>
        <v/>
      </c>
      <c r="AC58" s="11" t="str">
        <f t="shared" si="54"/>
        <v/>
      </c>
      <c r="AD58" s="11" t="str">
        <f t="shared" si="55"/>
        <v/>
      </c>
      <c r="AE58" s="11" t="str">
        <f t="shared" si="56"/>
        <v/>
      </c>
      <c r="AF58" s="11" t="str">
        <f t="shared" si="57"/>
        <v/>
      </c>
      <c r="AG58" s="11" t="str">
        <f t="shared" si="58"/>
        <v/>
      </c>
      <c r="AH58" s="11" t="str">
        <f t="shared" si="59"/>
        <v/>
      </c>
      <c r="AI58" s="11" t="str">
        <f t="shared" si="60"/>
        <v/>
      </c>
      <c r="AJ58" s="11" t="str">
        <f t="shared" si="61"/>
        <v/>
      </c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</row>
    <row r="59" spans="1:52" s="10" customFormat="1" x14ac:dyDescent="0.2">
      <c r="A59" s="140"/>
      <c r="B59" s="140"/>
      <c r="C59" s="140"/>
      <c r="D59" s="140"/>
      <c r="E59" s="140"/>
      <c r="F59" s="140"/>
      <c r="G59" s="140"/>
      <c r="H59" s="141">
        <f t="shared" si="7"/>
        <v>184.0270537324227</v>
      </c>
      <c r="I59" s="140">
        <f t="shared" si="37"/>
        <v>2.8402705373242267</v>
      </c>
      <c r="J59" s="143">
        <f t="shared" si="9"/>
        <v>3.874301910400392E-5</v>
      </c>
      <c r="K59" s="140"/>
      <c r="L59" s="140" t="str">
        <f t="shared" si="36"/>
        <v/>
      </c>
      <c r="M59" s="140" t="str">
        <f t="shared" si="38"/>
        <v/>
      </c>
      <c r="N59" s="11" t="str">
        <f t="shared" si="39"/>
        <v/>
      </c>
      <c r="O59" s="11" t="str">
        <f t="shared" si="40"/>
        <v/>
      </c>
      <c r="P59" s="11" t="str">
        <f t="shared" si="41"/>
        <v/>
      </c>
      <c r="Q59" s="11" t="str">
        <f t="shared" si="42"/>
        <v/>
      </c>
      <c r="R59" s="11" t="str">
        <f t="shared" si="43"/>
        <v/>
      </c>
      <c r="S59" s="11" t="str">
        <f t="shared" si="44"/>
        <v/>
      </c>
      <c r="T59" s="11" t="str">
        <f t="shared" si="45"/>
        <v/>
      </c>
      <c r="U59" s="11" t="str">
        <f t="shared" si="46"/>
        <v/>
      </c>
      <c r="V59" s="11" t="str">
        <f t="shared" si="47"/>
        <v/>
      </c>
      <c r="W59" s="11" t="str">
        <f t="shared" si="48"/>
        <v/>
      </c>
      <c r="X59" s="11" t="str">
        <f t="shared" si="49"/>
        <v/>
      </c>
      <c r="Y59" s="11" t="str">
        <f t="shared" si="50"/>
        <v/>
      </c>
      <c r="Z59" s="11" t="str">
        <f t="shared" si="51"/>
        <v/>
      </c>
      <c r="AA59" s="11" t="str">
        <f t="shared" si="52"/>
        <v/>
      </c>
      <c r="AB59" s="11" t="str">
        <f t="shared" si="53"/>
        <v/>
      </c>
      <c r="AC59" s="11" t="str">
        <f t="shared" si="54"/>
        <v/>
      </c>
      <c r="AD59" s="11" t="str">
        <f t="shared" si="55"/>
        <v/>
      </c>
      <c r="AE59" s="11" t="str">
        <f t="shared" si="56"/>
        <v/>
      </c>
      <c r="AF59" s="11" t="str">
        <f t="shared" si="57"/>
        <v/>
      </c>
      <c r="AG59" s="11" t="str">
        <f t="shared" si="58"/>
        <v/>
      </c>
      <c r="AH59" s="11" t="str">
        <f t="shared" si="59"/>
        <v/>
      </c>
      <c r="AI59" s="11">
        <f t="shared" si="60"/>
        <v>3.8743019104003917E-7</v>
      </c>
      <c r="AJ59" s="11" t="str">
        <f t="shared" si="61"/>
        <v/>
      </c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</row>
    <row r="60" spans="1:52" s="10" customFormat="1" x14ac:dyDescent="0.2">
      <c r="A60" s="140"/>
      <c r="B60" s="140"/>
      <c r="C60" s="140"/>
      <c r="D60" s="140"/>
      <c r="E60" s="140"/>
      <c r="F60" s="140"/>
      <c r="G60" s="140"/>
      <c r="H60" s="141">
        <f t="shared" si="7"/>
        <v>188.6933186030588</v>
      </c>
      <c r="I60" s="140">
        <f t="shared" si="37"/>
        <v>2.8869331860305878</v>
      </c>
      <c r="J60" s="143">
        <f t="shared" si="9"/>
        <v>0</v>
      </c>
      <c r="K60" s="140"/>
      <c r="L60" s="140" t="str">
        <f t="shared" si="36"/>
        <v/>
      </c>
      <c r="M60" s="140" t="str">
        <f t="shared" si="38"/>
        <v/>
      </c>
      <c r="N60" s="11" t="str">
        <f t="shared" si="39"/>
        <v/>
      </c>
      <c r="O60" s="11" t="str">
        <f t="shared" si="40"/>
        <v/>
      </c>
      <c r="P60" s="11" t="str">
        <f t="shared" si="41"/>
        <v/>
      </c>
      <c r="Q60" s="11" t="str">
        <f t="shared" si="42"/>
        <v/>
      </c>
      <c r="R60" s="11" t="str">
        <f t="shared" si="43"/>
        <v/>
      </c>
      <c r="S60" s="11" t="str">
        <f t="shared" si="44"/>
        <v/>
      </c>
      <c r="T60" s="11" t="str">
        <f t="shared" si="45"/>
        <v/>
      </c>
      <c r="U60" s="11" t="str">
        <f t="shared" si="46"/>
        <v/>
      </c>
      <c r="V60" s="11" t="str">
        <f t="shared" si="47"/>
        <v/>
      </c>
      <c r="W60" s="11" t="str">
        <f t="shared" si="48"/>
        <v/>
      </c>
      <c r="X60" s="11" t="str">
        <f t="shared" si="49"/>
        <v/>
      </c>
      <c r="Y60" s="11" t="str">
        <f t="shared" si="50"/>
        <v/>
      </c>
      <c r="Z60" s="11" t="str">
        <f t="shared" si="51"/>
        <v/>
      </c>
      <c r="AA60" s="11" t="str">
        <f t="shared" si="52"/>
        <v/>
      </c>
      <c r="AB60" s="11" t="str">
        <f t="shared" si="53"/>
        <v/>
      </c>
      <c r="AC60" s="11" t="str">
        <f t="shared" si="54"/>
        <v/>
      </c>
      <c r="AD60" s="11" t="str">
        <f t="shared" si="55"/>
        <v/>
      </c>
      <c r="AE60" s="11" t="str">
        <f t="shared" si="56"/>
        <v/>
      </c>
      <c r="AF60" s="11" t="str">
        <f t="shared" si="57"/>
        <v/>
      </c>
      <c r="AG60" s="11" t="str">
        <f t="shared" si="58"/>
        <v/>
      </c>
      <c r="AH60" s="11" t="str">
        <f t="shared" si="59"/>
        <v/>
      </c>
      <c r="AI60" s="11" t="str">
        <f t="shared" si="60"/>
        <v/>
      </c>
      <c r="AJ60" s="11" t="str">
        <f t="shared" si="61"/>
        <v/>
      </c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</row>
    <row r="61" spans="1:52" s="10" customFormat="1" x14ac:dyDescent="0.2">
      <c r="A61" s="140"/>
      <c r="B61" s="140"/>
      <c r="C61" s="140"/>
      <c r="D61" s="140"/>
      <c r="E61" s="140"/>
      <c r="F61" s="140"/>
      <c r="G61" s="140"/>
      <c r="H61" s="141">
        <f t="shared" si="7"/>
        <v>193.3595834736949</v>
      </c>
      <c r="I61" s="140">
        <f t="shared" si="37"/>
        <v>2.9335958347369488</v>
      </c>
      <c r="J61" s="143">
        <f t="shared" si="9"/>
        <v>0</v>
      </c>
      <c r="K61" s="140"/>
      <c r="L61" s="140" t="str">
        <f t="shared" si="36"/>
        <v/>
      </c>
      <c r="M61" s="140" t="str">
        <f t="shared" si="38"/>
        <v/>
      </c>
      <c r="N61" s="11" t="str">
        <f t="shared" si="39"/>
        <v/>
      </c>
      <c r="O61" s="11" t="str">
        <f t="shared" si="40"/>
        <v/>
      </c>
      <c r="P61" s="11" t="str">
        <f t="shared" si="41"/>
        <v/>
      </c>
      <c r="Q61" s="11" t="str">
        <f t="shared" si="42"/>
        <v/>
      </c>
      <c r="R61" s="11" t="str">
        <f t="shared" si="43"/>
        <v/>
      </c>
      <c r="S61" s="11" t="str">
        <f t="shared" si="44"/>
        <v/>
      </c>
      <c r="T61" s="11" t="str">
        <f t="shared" si="45"/>
        <v/>
      </c>
      <c r="U61" s="11" t="str">
        <f t="shared" si="46"/>
        <v/>
      </c>
      <c r="V61" s="11" t="str">
        <f t="shared" si="47"/>
        <v/>
      </c>
      <c r="W61" s="11" t="str">
        <f t="shared" si="48"/>
        <v/>
      </c>
      <c r="X61" s="11" t="str">
        <f t="shared" si="49"/>
        <v/>
      </c>
      <c r="Y61" s="11" t="str">
        <f t="shared" si="50"/>
        <v/>
      </c>
      <c r="Z61" s="11" t="str">
        <f t="shared" si="51"/>
        <v/>
      </c>
      <c r="AA61" s="11" t="str">
        <f t="shared" si="52"/>
        <v/>
      </c>
      <c r="AB61" s="11" t="str">
        <f t="shared" si="53"/>
        <v/>
      </c>
      <c r="AC61" s="11" t="str">
        <f t="shared" si="54"/>
        <v/>
      </c>
      <c r="AD61" s="11" t="str">
        <f t="shared" si="55"/>
        <v/>
      </c>
      <c r="AE61" s="11" t="str">
        <f t="shared" si="56"/>
        <v/>
      </c>
      <c r="AF61" s="11" t="str">
        <f t="shared" si="57"/>
        <v/>
      </c>
      <c r="AG61" s="11" t="str">
        <f t="shared" si="58"/>
        <v/>
      </c>
      <c r="AH61" s="11" t="str">
        <f t="shared" si="59"/>
        <v/>
      </c>
      <c r="AI61" s="11" t="str">
        <f t="shared" si="60"/>
        <v/>
      </c>
      <c r="AJ61" s="11" t="str">
        <f t="shared" si="61"/>
        <v/>
      </c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</row>
    <row r="62" spans="1:52" s="10" customFormat="1" x14ac:dyDescent="0.2">
      <c r="A62" s="140"/>
      <c r="B62" s="140"/>
      <c r="C62" s="140"/>
      <c r="D62" s="140"/>
      <c r="E62" s="140"/>
      <c r="F62" s="140"/>
      <c r="G62" s="140"/>
      <c r="H62" s="141">
        <f t="shared" si="7"/>
        <v>198.025848344331</v>
      </c>
      <c r="I62" s="140">
        <f t="shared" si="37"/>
        <v>2.9802584834433099</v>
      </c>
      <c r="J62" s="143">
        <f t="shared" si="9"/>
        <v>0</v>
      </c>
      <c r="K62" s="140"/>
      <c r="L62" s="140" t="str">
        <f t="shared" si="36"/>
        <v/>
      </c>
      <c r="M62" s="140" t="str">
        <f t="shared" si="38"/>
        <v/>
      </c>
      <c r="N62" s="11" t="str">
        <f t="shared" si="39"/>
        <v/>
      </c>
      <c r="O62" s="11" t="str">
        <f t="shared" si="40"/>
        <v/>
      </c>
      <c r="P62" s="11" t="str">
        <f t="shared" si="41"/>
        <v/>
      </c>
      <c r="Q62" s="11" t="str">
        <f t="shared" si="42"/>
        <v/>
      </c>
      <c r="R62" s="11" t="str">
        <f t="shared" si="43"/>
        <v/>
      </c>
      <c r="S62" s="11" t="str">
        <f t="shared" si="44"/>
        <v/>
      </c>
      <c r="T62" s="11" t="str">
        <f t="shared" si="45"/>
        <v/>
      </c>
      <c r="U62" s="11" t="str">
        <f t="shared" si="46"/>
        <v/>
      </c>
      <c r="V62" s="11" t="str">
        <f t="shared" si="47"/>
        <v/>
      </c>
      <c r="W62" s="11" t="str">
        <f t="shared" si="48"/>
        <v/>
      </c>
      <c r="X62" s="11" t="str">
        <f t="shared" si="49"/>
        <v/>
      </c>
      <c r="Y62" s="11" t="str">
        <f t="shared" si="50"/>
        <v/>
      </c>
      <c r="Z62" s="11" t="str">
        <f t="shared" si="51"/>
        <v/>
      </c>
      <c r="AA62" s="11" t="str">
        <f t="shared" si="52"/>
        <v/>
      </c>
      <c r="AB62" s="11" t="str">
        <f t="shared" si="53"/>
        <v/>
      </c>
      <c r="AC62" s="11" t="str">
        <f t="shared" si="54"/>
        <v/>
      </c>
      <c r="AD62" s="11" t="str">
        <f t="shared" si="55"/>
        <v/>
      </c>
      <c r="AE62" s="11" t="str">
        <f t="shared" si="56"/>
        <v/>
      </c>
      <c r="AF62" s="11" t="str">
        <f t="shared" si="57"/>
        <v/>
      </c>
      <c r="AG62" s="11" t="str">
        <f t="shared" si="58"/>
        <v/>
      </c>
      <c r="AH62" s="11" t="str">
        <f t="shared" si="59"/>
        <v/>
      </c>
      <c r="AI62" s="11" t="str">
        <f t="shared" si="60"/>
        <v/>
      </c>
      <c r="AJ62" s="11" t="str">
        <f t="shared" si="61"/>
        <v/>
      </c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</row>
    <row r="63" spans="1:52" s="10" customFormat="1" x14ac:dyDescent="0.2">
      <c r="A63" s="140"/>
      <c r="B63" s="140"/>
      <c r="C63" s="140"/>
      <c r="D63" s="140"/>
      <c r="E63" s="140"/>
      <c r="F63" s="140"/>
      <c r="G63" s="140"/>
      <c r="H63" s="141">
        <f t="shared" si="7"/>
        <v>202.69211321496709</v>
      </c>
      <c r="I63" s="140">
        <f t="shared" si="37"/>
        <v>3.026921132149671</v>
      </c>
      <c r="J63" s="143">
        <f t="shared" si="9"/>
        <v>0</v>
      </c>
      <c r="K63" s="140"/>
      <c r="L63" s="140" t="str">
        <f t="shared" si="36"/>
        <v/>
      </c>
      <c r="M63" s="140" t="str">
        <f t="shared" si="38"/>
        <v/>
      </c>
      <c r="N63" s="11" t="str">
        <f t="shared" si="39"/>
        <v/>
      </c>
      <c r="O63" s="11" t="str">
        <f t="shared" si="40"/>
        <v/>
      </c>
      <c r="P63" s="11" t="str">
        <f t="shared" si="41"/>
        <v/>
      </c>
      <c r="Q63" s="11" t="str">
        <f t="shared" si="42"/>
        <v/>
      </c>
      <c r="R63" s="11" t="str">
        <f t="shared" si="43"/>
        <v/>
      </c>
      <c r="S63" s="11" t="str">
        <f t="shared" si="44"/>
        <v/>
      </c>
      <c r="T63" s="11" t="str">
        <f t="shared" si="45"/>
        <v/>
      </c>
      <c r="U63" s="11" t="str">
        <f t="shared" si="46"/>
        <v/>
      </c>
      <c r="V63" s="11" t="str">
        <f t="shared" si="47"/>
        <v/>
      </c>
      <c r="W63" s="11" t="str">
        <f t="shared" si="48"/>
        <v/>
      </c>
      <c r="X63" s="11" t="str">
        <f t="shared" si="49"/>
        <v/>
      </c>
      <c r="Y63" s="11" t="str">
        <f t="shared" si="50"/>
        <v/>
      </c>
      <c r="Z63" s="11" t="str">
        <f t="shared" si="51"/>
        <v/>
      </c>
      <c r="AA63" s="11" t="str">
        <f t="shared" si="52"/>
        <v/>
      </c>
      <c r="AB63" s="11" t="str">
        <f t="shared" si="53"/>
        <v/>
      </c>
      <c r="AC63" s="11" t="str">
        <f t="shared" si="54"/>
        <v/>
      </c>
      <c r="AD63" s="11" t="str">
        <f t="shared" si="55"/>
        <v/>
      </c>
      <c r="AE63" s="11" t="str">
        <f t="shared" si="56"/>
        <v/>
      </c>
      <c r="AF63" s="11" t="str">
        <f t="shared" si="57"/>
        <v/>
      </c>
      <c r="AG63" s="11" t="str">
        <f t="shared" si="58"/>
        <v/>
      </c>
      <c r="AH63" s="11" t="str">
        <f t="shared" si="59"/>
        <v/>
      </c>
      <c r="AI63" s="11" t="str">
        <f t="shared" si="60"/>
        <v/>
      </c>
      <c r="AJ63" s="11" t="str">
        <f t="shared" si="61"/>
        <v/>
      </c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</row>
    <row r="64" spans="1:52" s="10" customFormat="1" x14ac:dyDescent="0.2">
      <c r="A64" s="140"/>
      <c r="B64" s="140"/>
      <c r="C64" s="140"/>
      <c r="D64" s="140"/>
      <c r="E64" s="140"/>
      <c r="F64" s="140"/>
      <c r="G64" s="140"/>
      <c r="H64" s="141">
        <f t="shared" si="7"/>
        <v>207.35837808560319</v>
      </c>
      <c r="I64" s="140">
        <f t="shared" si="37"/>
        <v>3.073583780856032</v>
      </c>
      <c r="J64" s="143">
        <f t="shared" si="9"/>
        <v>0</v>
      </c>
      <c r="K64" s="140"/>
      <c r="L64" s="140" t="str">
        <f t="shared" si="36"/>
        <v/>
      </c>
      <c r="M64" s="140" t="str">
        <f t="shared" si="38"/>
        <v/>
      </c>
      <c r="N64" s="11" t="str">
        <f t="shared" si="39"/>
        <v/>
      </c>
      <c r="O64" s="11" t="str">
        <f>IF(O$1&gt;$B$2-1,"",IF(SIGN($F$9-$I64)=SIGN($F$9-$I65),"",$E$9))</f>
        <v/>
      </c>
      <c r="P64" s="11" t="str">
        <f t="shared" si="41"/>
        <v/>
      </c>
      <c r="Q64" s="11" t="str">
        <f t="shared" si="42"/>
        <v/>
      </c>
      <c r="R64" s="11" t="str">
        <f t="shared" si="43"/>
        <v/>
      </c>
      <c r="S64" s="11" t="str">
        <f t="shared" si="44"/>
        <v/>
      </c>
      <c r="T64" s="11" t="str">
        <f t="shared" si="45"/>
        <v/>
      </c>
      <c r="U64" s="11" t="str">
        <f t="shared" si="46"/>
        <v/>
      </c>
      <c r="V64" s="11" t="str">
        <f t="shared" si="47"/>
        <v/>
      </c>
      <c r="W64" s="11" t="str">
        <f t="shared" si="48"/>
        <v/>
      </c>
      <c r="X64" s="11" t="str">
        <f t="shared" si="49"/>
        <v/>
      </c>
      <c r="Y64" s="11" t="str">
        <f t="shared" si="50"/>
        <v/>
      </c>
      <c r="Z64" s="11" t="str">
        <f t="shared" si="51"/>
        <v/>
      </c>
      <c r="AA64" s="11" t="str">
        <f t="shared" si="52"/>
        <v/>
      </c>
      <c r="AB64" s="11" t="str">
        <f t="shared" si="53"/>
        <v/>
      </c>
      <c r="AC64" s="11" t="str">
        <f t="shared" si="54"/>
        <v/>
      </c>
      <c r="AD64" s="11" t="str">
        <f t="shared" si="55"/>
        <v/>
      </c>
      <c r="AE64" s="11" t="str">
        <f t="shared" si="56"/>
        <v/>
      </c>
      <c r="AF64" s="11" t="str">
        <f t="shared" si="57"/>
        <v/>
      </c>
      <c r="AG64" s="11" t="str">
        <f t="shared" si="58"/>
        <v/>
      </c>
      <c r="AH64" s="11" t="str">
        <f t="shared" si="59"/>
        <v/>
      </c>
      <c r="AI64" s="11" t="str">
        <f t="shared" si="60"/>
        <v/>
      </c>
      <c r="AJ64" s="11" t="str">
        <f t="shared" si="61"/>
        <v/>
      </c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</row>
    <row r="65" spans="1:52" s="10" customFormat="1" x14ac:dyDescent="0.2">
      <c r="A65" s="140"/>
      <c r="B65" s="140"/>
      <c r="C65" s="140"/>
      <c r="D65" s="140"/>
      <c r="E65" s="140"/>
      <c r="F65" s="140"/>
      <c r="G65" s="140"/>
      <c r="H65" s="141">
        <f t="shared" si="7"/>
        <v>212.02464295623929</v>
      </c>
      <c r="I65" s="140">
        <f t="shared" si="37"/>
        <v>3.1202464295623931</v>
      </c>
      <c r="J65" s="143">
        <f t="shared" si="9"/>
        <v>1.4901161193847656E-6</v>
      </c>
      <c r="K65" s="140">
        <f>$E5</f>
        <v>1.4901161193847656E-8</v>
      </c>
      <c r="L65" s="140"/>
      <c r="M65" s="140"/>
      <c r="N65" s="11"/>
      <c r="O65" s="11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</row>
    <row r="66" spans="1:52" s="10" customFormat="1" x14ac:dyDescent="0.2">
      <c r="A66" s="140"/>
      <c r="B66" s="140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1"/>
      <c r="O66" s="11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</row>
    <row r="67" spans="1:52" x14ac:dyDescent="0.2">
      <c r="A67" s="140"/>
      <c r="B67" s="140"/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1"/>
      <c r="O67" s="11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</row>
    <row r="68" spans="1:52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</row>
    <row r="69" spans="1:52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</row>
    <row r="70" spans="1:52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</row>
    <row r="71" spans="1:52" x14ac:dyDescent="0.2"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2"/>
      <c r="AI71" s="12"/>
      <c r="AJ71" s="12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</row>
    <row r="72" spans="1:52" x14ac:dyDescent="0.2"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2"/>
      <c r="AI72" s="12"/>
      <c r="AJ72" s="12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</row>
    <row r="73" spans="1:52" x14ac:dyDescent="0.2"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2"/>
      <c r="AI73" s="12"/>
      <c r="AJ73" s="12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</row>
    <row r="74" spans="1:52" x14ac:dyDescent="0.2"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2"/>
      <c r="AI74" s="12"/>
      <c r="AJ74" s="12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</row>
    <row r="75" spans="1:52" x14ac:dyDescent="0.2"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2"/>
      <c r="AI75" s="12"/>
      <c r="AJ75" s="12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</row>
    <row r="76" spans="1:52" x14ac:dyDescent="0.2"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2"/>
      <c r="AI76" s="12"/>
      <c r="AJ76" s="12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</row>
    <row r="77" spans="1:52" x14ac:dyDescent="0.2"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2"/>
      <c r="AI77" s="12"/>
      <c r="AJ77" s="12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</row>
    <row r="78" spans="1:52" x14ac:dyDescent="0.2"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2"/>
      <c r="AI78" s="12"/>
      <c r="AJ78" s="12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</row>
    <row r="79" spans="1:52" x14ac:dyDescent="0.2"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</row>
    <row r="80" spans="1:52" x14ac:dyDescent="0.2"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</row>
    <row r="81" spans="16:37" x14ac:dyDescent="0.2"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</row>
    <row r="82" spans="16:37" x14ac:dyDescent="0.2"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</row>
    <row r="83" spans="16:37" x14ac:dyDescent="0.2"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</row>
    <row r="84" spans="16:37" x14ac:dyDescent="0.2"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</row>
    <row r="85" spans="16:37" x14ac:dyDescent="0.2"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</row>
    <row r="86" spans="16:37" x14ac:dyDescent="0.2"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</row>
    <row r="87" spans="16:37" x14ac:dyDescent="0.2"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</row>
    <row r="88" spans="16:37" x14ac:dyDescent="0.2"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</row>
    <row r="89" spans="16:37" x14ac:dyDescent="0.2"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</row>
  </sheetData>
  <sheetProtection password="DC54" sheet="1" objects="1" scenarios="1"/>
  <phoneticPr fontId="2" type="noConversion"/>
  <pageMargins left="0.75" right="0.75" top="1" bottom="1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Inputs</vt:lpstr>
      <vt:lpstr>Stock</vt:lpstr>
      <vt:lpstr>Call</vt:lpstr>
      <vt:lpstr>Put</vt:lpstr>
      <vt:lpstr>wkgs</vt:lpstr>
      <vt:lpstr>.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 Brealey</dc:creator>
  <cp:lastModifiedBy>IT Operations</cp:lastModifiedBy>
  <dcterms:created xsi:type="dcterms:W3CDTF">2011-10-24T07:54:08Z</dcterms:created>
  <dcterms:modified xsi:type="dcterms:W3CDTF">2012-11-23T08:21:38Z</dcterms:modified>
</cp:coreProperties>
</file>