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75" windowWidth="15795" windowHeight="8700"/>
  </bookViews>
  <sheets>
    <sheet name="Sprd 13.2" sheetId="1" r:id="rId1"/>
  </sheets>
  <externalReferences>
    <externalReference r:id="rId2"/>
  </externalReferences>
  <definedNames>
    <definedName name="_Div1">'[1]2-stage'!$B$10</definedName>
    <definedName name="_Div2">'[1]2-stage'!$B$11</definedName>
    <definedName name="_Div3">'[1]2-stage'!$B$12</definedName>
    <definedName name="_Div4">'[1]2-stage'!$B$13</definedName>
    <definedName name="g_firm">'Sprd 13.2'!$B$23</definedName>
    <definedName name="k">'[1]2-stage'!$B$5</definedName>
    <definedName name="k_eq">'[1]Sprd 13.1'!$B$5</definedName>
    <definedName name="Price4">'[1]2-stage'!$B$15</definedName>
    <definedName name="rdebt">'Sprd 13.2'!$B$25</definedName>
    <definedName name="tax_rate">'Sprd 13.2'!$B$24</definedName>
    <definedName name="term_g">'[1]Sprd 13.1'!$B$8</definedName>
    <definedName name="WACC_5">'Sprd 13.2'!$G$32</definedName>
  </definedNames>
  <calcPr calcId="145621"/>
</workbook>
</file>

<file path=xl/calcChain.xml><?xml version="1.0" encoding="utf-8"?>
<calcChain xmlns="http://schemas.openxmlformats.org/spreadsheetml/2006/main">
  <c r="G28" i="1" l="1"/>
  <c r="G29" i="1" s="1"/>
  <c r="G30" i="1" s="1"/>
  <c r="G31" i="1" s="1"/>
  <c r="C28" i="1"/>
  <c r="C29" i="1" s="1"/>
  <c r="B22" i="1"/>
  <c r="G15" i="1"/>
  <c r="D15" i="1"/>
  <c r="E15" i="1" s="1"/>
  <c r="F14" i="1"/>
  <c r="E14" i="1"/>
  <c r="G12" i="1"/>
  <c r="D13" i="1"/>
  <c r="D12" i="1"/>
  <c r="D17" i="1"/>
  <c r="C12" i="1"/>
  <c r="F11" i="1"/>
  <c r="E11" i="1"/>
  <c r="F8" i="1"/>
  <c r="G13" i="1" s="1"/>
  <c r="G17" i="1" s="1"/>
  <c r="E8" i="1"/>
  <c r="E13" i="1" s="1"/>
  <c r="F7" i="1"/>
  <c r="E7" i="1"/>
  <c r="F6" i="1"/>
  <c r="E6" i="1"/>
  <c r="F5" i="1"/>
  <c r="F12" i="1" s="1"/>
  <c r="E5" i="1"/>
  <c r="E12" i="1" s="1"/>
  <c r="F4" i="1"/>
  <c r="E4" i="1"/>
  <c r="F3" i="1"/>
  <c r="E3" i="1"/>
  <c r="D1" i="1"/>
  <c r="E1" i="1" s="1"/>
  <c r="F1" i="1" s="1"/>
  <c r="G1" i="1" s="1"/>
  <c r="D18" i="1"/>
  <c r="E17" i="1" l="1"/>
  <c r="F29" i="1"/>
  <c r="F30" i="1" s="1"/>
  <c r="F31" i="1" s="1"/>
  <c r="F32" i="1" s="1"/>
  <c r="E29" i="1"/>
  <c r="E30" i="1" s="1"/>
  <c r="E31" i="1" s="1"/>
  <c r="E32" i="1" s="1"/>
  <c r="C30" i="1"/>
  <c r="C31" i="1" s="1"/>
  <c r="C32" i="1" s="1"/>
  <c r="D29" i="1"/>
  <c r="D30" i="1" s="1"/>
  <c r="D31" i="1" s="1"/>
  <c r="G18" i="1"/>
  <c r="H31" i="1"/>
  <c r="G32" i="1"/>
  <c r="H32" i="1" s="1"/>
  <c r="F15" i="1"/>
  <c r="F13" i="1"/>
  <c r="F17" i="1" s="1"/>
  <c r="F18" i="1" l="1"/>
  <c r="H18" i="1"/>
  <c r="H17" i="1"/>
  <c r="D34" i="1"/>
  <c r="D32" i="1"/>
  <c r="D33" i="1" s="1"/>
  <c r="E18" i="1"/>
  <c r="E34" i="1" l="1"/>
  <c r="F34" i="1" s="1"/>
  <c r="G34" i="1" s="1"/>
  <c r="D38" i="1"/>
  <c r="D37" i="1"/>
  <c r="E33" i="1"/>
  <c r="F38" i="1"/>
  <c r="F33" i="1" l="1"/>
  <c r="E37" i="1"/>
  <c r="H34" i="1"/>
  <c r="H38" i="1" s="1"/>
  <c r="G38" i="1"/>
  <c r="E38" i="1"/>
  <c r="J38" i="1" s="1"/>
  <c r="K38" i="1" s="1"/>
  <c r="L38" i="1" s="1"/>
  <c r="G33" i="1" l="1"/>
  <c r="F37" i="1"/>
  <c r="H33" i="1" l="1"/>
  <c r="H37" i="1" s="1"/>
  <c r="G37" i="1"/>
  <c r="J37" i="1" s="1"/>
  <c r="K37" i="1" s="1"/>
  <c r="L37" i="1" s="1"/>
</calcChain>
</file>

<file path=xl/sharedStrings.xml><?xml version="1.0" encoding="utf-8"?>
<sst xmlns="http://schemas.openxmlformats.org/spreadsheetml/2006/main" count="53" uniqueCount="50">
  <si>
    <t>A. Input data</t>
  </si>
  <si>
    <t>P/E</t>
  </si>
  <si>
    <t>Cap spending/shr</t>
  </si>
  <si>
    <t>LT Debt</t>
  </si>
  <si>
    <t>Shares</t>
  </si>
  <si>
    <t>EPS</t>
  </si>
  <si>
    <t xml:space="preserve"> </t>
  </si>
  <si>
    <t>Working Capital</t>
  </si>
  <si>
    <t>B. Cash flow calculations</t>
  </si>
  <si>
    <t>Profits (after tax)</t>
  </si>
  <si>
    <t>Interest (after tax)</t>
  </si>
  <si>
    <t xml:space="preserve">   = (1-tax_rate) x r_debt x LT Debt</t>
  </si>
  <si>
    <t>Chg Working Cap</t>
  </si>
  <si>
    <t>Depreciation</t>
  </si>
  <si>
    <t>Cap Spending</t>
  </si>
  <si>
    <t>Terminal value</t>
  </si>
  <si>
    <t>FCFF</t>
  </si>
  <si>
    <t>FCFE</t>
  </si>
  <si>
    <t>assumes fixed debt ratio after 2015</t>
  </si>
  <si>
    <t>C. Discount rate calculations</t>
  </si>
  <si>
    <t>Current beta</t>
  </si>
  <si>
    <t>from Value Line</t>
  </si>
  <si>
    <t>Unlevered beta</t>
  </si>
  <si>
    <t>current beta /[1 + (1-tax)*debt/equity)]</t>
  </si>
  <si>
    <t>terminal growth</t>
  </si>
  <si>
    <t>tax_rate</t>
  </si>
  <si>
    <t>r_debt</t>
  </si>
  <si>
    <t>YTM in 2012 on A+ rated LT debt</t>
  </si>
  <si>
    <t>risk-free rate</t>
  </si>
  <si>
    <t>market risk prem</t>
  </si>
  <si>
    <t>MV equity</t>
  </si>
  <si>
    <t>Row 3 x Row 11</t>
  </si>
  <si>
    <t>Debt/Value</t>
  </si>
  <si>
    <t>linear trend from initial to final value</t>
  </si>
  <si>
    <t>Levered beta</t>
  </si>
  <si>
    <t>unlevered beta x [1 + (1-tax)*debt/equity]</t>
  </si>
  <si>
    <t>k_equity</t>
  </si>
  <si>
    <t>from CAPM and levered beta</t>
  </si>
  <si>
    <t>WACC</t>
  </si>
  <si>
    <t>(1-t)*r_debt*D/V + k_equity*(1-D/V)</t>
  </si>
  <si>
    <t>PV factor for FCFF</t>
  </si>
  <si>
    <t>Discount each year at WACC</t>
  </si>
  <si>
    <t>PV factor for FCFE</t>
  </si>
  <si>
    <t>Discount each year at k_equity</t>
  </si>
  <si>
    <t>D. Present values</t>
  </si>
  <si>
    <t>Intrinsic val</t>
  </si>
  <si>
    <t>Equity val</t>
  </si>
  <si>
    <t>Intrin/share</t>
  </si>
  <si>
    <t>PV(FCFF)</t>
  </si>
  <si>
    <t>PV(FCFE)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</si>
</sst>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164" fontId="0" fillId="0" borderId="0" xfId="0" applyNumberFormat="1"/>
    <xf numFmtId="1" fontId="0" fillId="0" borderId="0" xfId="0" applyNumberFormat="1"/>
    <xf numFmtId="166" fontId="0" fillId="0" borderId="0" xfId="0" applyNumberFormat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0" fillId="0" borderId="1" xfId="0" applyBorder="1"/>
    <xf numFmtId="2" fontId="0" fillId="0" borderId="0" xfId="0" applyNumberFormat="1" applyBorder="1"/>
    <xf numFmtId="1" fontId="0" fillId="0" borderId="1" xfId="0" applyNumberFormat="1" applyBorder="1"/>
    <xf numFmtId="1" fontId="0" fillId="0" borderId="0" xfId="0" applyNumberFormat="1" applyBorder="1"/>
    <xf numFmtId="1" fontId="0" fillId="0" borderId="2" xfId="0" applyNumberFormat="1" applyBorder="1"/>
    <xf numFmtId="1" fontId="1" fillId="0" borderId="1" xfId="0" applyNumberFormat="1" applyFont="1" applyBorder="1"/>
    <xf numFmtId="165" fontId="0" fillId="0" borderId="0" xfId="0" applyNumberFormat="1" applyBorder="1"/>
    <xf numFmtId="1" fontId="0" fillId="0" borderId="0" xfId="0" quotePrefix="1" applyNumberFormat="1" applyBorder="1"/>
    <xf numFmtId="1" fontId="2" fillId="0" borderId="0" xfId="0" applyNumberFormat="1" applyFont="1" applyBorder="1"/>
    <xf numFmtId="0" fontId="3" fillId="0" borderId="0" xfId="0" applyFont="1" applyBorder="1"/>
    <xf numFmtId="0" fontId="3" fillId="0" borderId="1" xfId="0" applyFont="1" applyBorder="1"/>
    <xf numFmtId="166" fontId="0" fillId="0" borderId="0" xfId="0" applyNumberFormat="1" applyBorder="1"/>
    <xf numFmtId="166" fontId="0" fillId="0" borderId="1" xfId="0" applyNumberFormat="1" applyBorder="1"/>
    <xf numFmtId="166" fontId="0" fillId="0" borderId="2" xfId="0" applyNumberForma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2" fontId="0" fillId="0" borderId="1" xfId="0" applyNumberFormat="1" applyBorder="1"/>
    <xf numFmtId="2" fontId="0" fillId="0" borderId="3" xfId="0" applyNumberFormat="1" applyBorder="1"/>
    <xf numFmtId="2" fontId="0" fillId="0" borderId="4" xfId="0" applyNumberFormat="1" applyBorder="1"/>
    <xf numFmtId="1" fontId="0" fillId="0" borderId="4" xfId="0" applyNumberFormat="1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0" fillId="0" borderId="7" xfId="0" applyBorder="1"/>
    <xf numFmtId="164" fontId="0" fillId="0" borderId="7" xfId="0" applyNumberFormat="1" applyBorder="1"/>
    <xf numFmtId="0" fontId="0" fillId="0" borderId="8" xfId="0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elle_Bathurst/BKM%20Essentials%209e/MSP/MS/Spreadsheets/BKM%209e%20Ch%2013%20spreadsheets%20NF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3.1"/>
      <sheetName val="Table 13.2"/>
      <sheetName val="Sprd 13.1"/>
      <sheetName val="Fig 13.3,13.8"/>
      <sheetName val="Fig 13.4,13.5"/>
      <sheetName val="Fig 13.6"/>
      <sheetName val="Sprd 13.2"/>
      <sheetName val="Table 13.4"/>
      <sheetName val="2-stage"/>
    </sheetNames>
    <sheetDataSet>
      <sheetData sheetId="0"/>
      <sheetData sheetId="1"/>
      <sheetData sheetId="2">
        <row r="5">
          <cell r="B5">
            <v>0.10100000000000001</v>
          </cell>
        </row>
        <row r="8">
          <cell r="B8">
            <v>7.5000000000000011E-2</v>
          </cell>
        </row>
      </sheetData>
      <sheetData sheetId="3"/>
      <sheetData sheetId="4"/>
      <sheetData sheetId="5"/>
      <sheetData sheetId="6">
        <row r="23">
          <cell r="B23">
            <v>2.5000000000000001E-2</v>
          </cell>
        </row>
      </sheetData>
      <sheetData sheetId="7"/>
      <sheetData sheetId="8">
        <row r="5">
          <cell r="B5">
            <v>0.109</v>
          </cell>
        </row>
        <row r="10">
          <cell r="B10">
            <v>0.72</v>
          </cell>
        </row>
        <row r="11">
          <cell r="B11">
            <v>0.81</v>
          </cell>
        </row>
        <row r="12">
          <cell r="B12">
            <v>0.9</v>
          </cell>
        </row>
        <row r="13">
          <cell r="B13">
            <v>1</v>
          </cell>
        </row>
        <row r="15">
          <cell r="B15">
            <v>31.61764705882354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workbookViewId="0"/>
  </sheetViews>
  <sheetFormatPr defaultRowHeight="15" x14ac:dyDescent="0.25"/>
  <cols>
    <col min="1" max="1" width="18.28515625" customWidth="1"/>
    <col min="9" max="9" width="4.140625" customWidth="1"/>
    <col min="10" max="10" width="10.85546875" customWidth="1"/>
    <col min="11" max="11" width="10.28515625" customWidth="1"/>
  </cols>
  <sheetData>
    <row r="1" spans="1:14" x14ac:dyDescent="0.25">
      <c r="A1" s="31"/>
      <c r="B1" s="32"/>
      <c r="C1" s="32">
        <v>2011</v>
      </c>
      <c r="D1" s="32">
        <f>C1+1</f>
        <v>2012</v>
      </c>
      <c r="E1" s="32">
        <f>D1+1</f>
        <v>2013</v>
      </c>
      <c r="F1" s="32">
        <f>E1+1</f>
        <v>2014</v>
      </c>
      <c r="G1" s="32">
        <f>F1+1</f>
        <v>2015</v>
      </c>
      <c r="H1" s="33"/>
      <c r="I1" s="33"/>
      <c r="J1" s="33"/>
      <c r="K1" s="34"/>
      <c r="L1" s="34"/>
      <c r="M1" s="35"/>
    </row>
    <row r="2" spans="1:14" x14ac:dyDescent="0.25">
      <c r="A2" s="4" t="s">
        <v>0</v>
      </c>
      <c r="B2" s="5"/>
      <c r="C2" s="5"/>
      <c r="D2" s="5"/>
      <c r="E2" s="5"/>
      <c r="F2" s="5"/>
      <c r="G2" s="5"/>
      <c r="H2" s="6"/>
      <c r="I2" s="6"/>
      <c r="J2" s="6"/>
      <c r="K2" s="7"/>
      <c r="L2" s="7"/>
      <c r="M2" s="8"/>
    </row>
    <row r="3" spans="1:14" x14ac:dyDescent="0.25">
      <c r="A3" s="9" t="s">
        <v>1</v>
      </c>
      <c r="B3" s="10"/>
      <c r="C3" s="10">
        <v>18</v>
      </c>
      <c r="D3" s="10">
        <v>14.5</v>
      </c>
      <c r="E3" s="10">
        <f>$D3+($G3-$D3)/3</f>
        <v>14.333333333333334</v>
      </c>
      <c r="F3" s="10">
        <f>$D3+2*($G3-$D3)/3</f>
        <v>14.166666666666666</v>
      </c>
      <c r="G3" s="10">
        <v>14</v>
      </c>
      <c r="H3" s="10"/>
      <c r="I3" s="10"/>
      <c r="J3" s="6"/>
      <c r="K3" s="7"/>
      <c r="L3" s="7"/>
      <c r="M3" s="8"/>
    </row>
    <row r="4" spans="1:14" x14ac:dyDescent="0.25">
      <c r="A4" s="9" t="s">
        <v>2</v>
      </c>
      <c r="B4" s="10"/>
      <c r="C4" s="10">
        <v>2.5</v>
      </c>
      <c r="D4" s="10">
        <v>2.65</v>
      </c>
      <c r="E4" s="10">
        <f>D4+(G4-D4)/3</f>
        <v>2.7833333333333332</v>
      </c>
      <c r="F4" s="10">
        <f>D4+2*(G4-D4)/3</f>
        <v>2.9166666666666665</v>
      </c>
      <c r="G4" s="10">
        <v>3.05</v>
      </c>
      <c r="H4" s="10"/>
      <c r="I4" s="10"/>
      <c r="J4" s="6"/>
      <c r="K4" s="7"/>
      <c r="L4" s="7"/>
      <c r="M4" s="8"/>
    </row>
    <row r="5" spans="1:14" x14ac:dyDescent="0.25">
      <c r="A5" s="11" t="s">
        <v>3</v>
      </c>
      <c r="B5" s="12"/>
      <c r="C5" s="12">
        <v>27500</v>
      </c>
      <c r="D5" s="12">
        <v>30000</v>
      </c>
      <c r="E5" s="12">
        <f>D5+(G5-D5)/3</f>
        <v>28333.333333333332</v>
      </c>
      <c r="F5" s="12">
        <f>D5+2*(G5-D5)/3</f>
        <v>26666.666666666668</v>
      </c>
      <c r="G5" s="12">
        <v>25000</v>
      </c>
      <c r="H5" s="10"/>
      <c r="I5" s="10"/>
      <c r="J5" s="12"/>
      <c r="K5" s="12"/>
      <c r="L5" s="12"/>
      <c r="M5" s="13"/>
      <c r="N5" s="2"/>
    </row>
    <row r="6" spans="1:14" x14ac:dyDescent="0.25">
      <c r="A6" s="11" t="s">
        <v>4</v>
      </c>
      <c r="B6" s="12"/>
      <c r="C6" s="12">
        <v>1800</v>
      </c>
      <c r="D6" s="12">
        <v>1800</v>
      </c>
      <c r="E6" s="12">
        <f>D6+(G6-D6)/3</f>
        <v>1798.3333333333333</v>
      </c>
      <c r="F6" s="12">
        <f>D6+2*(G6-D6)/3</f>
        <v>1796.6666666666667</v>
      </c>
      <c r="G6" s="12">
        <v>1795</v>
      </c>
      <c r="H6" s="10"/>
      <c r="I6" s="10"/>
      <c r="J6" s="12"/>
      <c r="K6" s="12"/>
      <c r="L6" s="12"/>
      <c r="M6" s="13"/>
      <c r="N6" s="2"/>
    </row>
    <row r="7" spans="1:14" x14ac:dyDescent="0.25">
      <c r="A7" s="9" t="s">
        <v>5</v>
      </c>
      <c r="B7" s="10" t="s">
        <v>6</v>
      </c>
      <c r="C7" s="10">
        <v>1.7</v>
      </c>
      <c r="D7" s="10">
        <v>3.2</v>
      </c>
      <c r="E7" s="10">
        <f>D7+(G7-D7)/3</f>
        <v>3.4666666666666668</v>
      </c>
      <c r="F7" s="10">
        <f>D7+2*(G7-D7)/3</f>
        <v>3.7333333333333334</v>
      </c>
      <c r="G7" s="10">
        <v>4</v>
      </c>
      <c r="H7" s="10"/>
      <c r="I7" s="10"/>
      <c r="J7" s="6"/>
      <c r="K7" s="7"/>
      <c r="L7" s="7"/>
      <c r="M7" s="8"/>
    </row>
    <row r="8" spans="1:14" x14ac:dyDescent="0.25">
      <c r="A8" s="11" t="s">
        <v>7</v>
      </c>
      <c r="B8" s="12" t="s">
        <v>6</v>
      </c>
      <c r="C8" s="12">
        <v>27630</v>
      </c>
      <c r="D8" s="12">
        <v>36835</v>
      </c>
      <c r="E8" s="12">
        <f>D8+(G8-D8)/3</f>
        <v>40563.333333333336</v>
      </c>
      <c r="F8" s="12">
        <f>D8+2*(G8-D8)/3</f>
        <v>44291.666666666664</v>
      </c>
      <c r="G8" s="12">
        <v>48020</v>
      </c>
      <c r="H8" s="10"/>
      <c r="I8" s="10"/>
      <c r="J8" s="12"/>
      <c r="K8" s="12"/>
      <c r="L8" s="12"/>
      <c r="M8" s="13"/>
      <c r="N8" s="2"/>
    </row>
    <row r="9" spans="1:14" x14ac:dyDescent="0.25">
      <c r="A9" s="11"/>
      <c r="B9" s="12"/>
      <c r="C9" s="12"/>
      <c r="D9" s="12"/>
      <c r="E9" s="12"/>
      <c r="F9" s="12"/>
      <c r="G9" s="12"/>
      <c r="H9" s="10"/>
      <c r="I9" s="10"/>
      <c r="J9" s="12"/>
      <c r="K9" s="12"/>
      <c r="L9" s="12"/>
      <c r="M9" s="13"/>
      <c r="N9" s="2"/>
    </row>
    <row r="10" spans="1:14" x14ac:dyDescent="0.25">
      <c r="A10" s="14" t="s">
        <v>8</v>
      </c>
      <c r="B10" s="10"/>
      <c r="C10" s="10"/>
      <c r="D10" s="10"/>
      <c r="E10" s="10"/>
      <c r="F10" s="10"/>
      <c r="G10" s="10"/>
      <c r="H10" s="10"/>
      <c r="I10" s="10"/>
      <c r="J10" s="6"/>
      <c r="K10" s="7"/>
      <c r="L10" s="7"/>
      <c r="M10" s="8"/>
    </row>
    <row r="11" spans="1:14" x14ac:dyDescent="0.25">
      <c r="A11" s="11" t="s">
        <v>9</v>
      </c>
      <c r="B11" s="12"/>
      <c r="C11" s="15">
        <v>3190</v>
      </c>
      <c r="D11" s="15">
        <v>5735</v>
      </c>
      <c r="E11" s="15">
        <f>D11+(G11-D11)/3</f>
        <v>6226.666666666667</v>
      </c>
      <c r="F11" s="15">
        <f>D11+2*(G11-D11)/3</f>
        <v>6718.333333333333</v>
      </c>
      <c r="G11" s="15">
        <v>7210</v>
      </c>
      <c r="H11" s="10"/>
      <c r="I11" s="10"/>
      <c r="J11" s="12"/>
      <c r="K11" s="12"/>
      <c r="L11" s="12"/>
      <c r="M11" s="13"/>
      <c r="N11" s="2"/>
    </row>
    <row r="12" spans="1:14" x14ac:dyDescent="0.25">
      <c r="A12" s="11" t="s">
        <v>10</v>
      </c>
      <c r="B12" s="12"/>
      <c r="C12" s="15">
        <f>$B$25*(1-tax_rate)*C5</f>
        <v>750.75</v>
      </c>
      <c r="D12" s="15">
        <f>$B$25*(1-tax_rate)*D5</f>
        <v>819</v>
      </c>
      <c r="E12" s="15">
        <f>$B$25*(1-tax_rate)*E5</f>
        <v>773.5</v>
      </c>
      <c r="F12" s="15">
        <f>$B$25*(1-tax_rate)*F5</f>
        <v>728.00000000000011</v>
      </c>
      <c r="G12" s="15">
        <f>$B$25*(1-tax_rate)*G5</f>
        <v>682.5</v>
      </c>
      <c r="H12" s="12"/>
      <c r="I12" s="16"/>
      <c r="J12" s="16" t="s">
        <v>11</v>
      </c>
      <c r="K12" s="12"/>
      <c r="L12" s="12"/>
      <c r="M12" s="13"/>
      <c r="N12" s="2"/>
    </row>
    <row r="13" spans="1:14" x14ac:dyDescent="0.25">
      <c r="A13" s="11" t="s">
        <v>12</v>
      </c>
      <c r="B13" s="12"/>
      <c r="C13" s="15"/>
      <c r="D13" s="15">
        <f>D8-C8</f>
        <v>9205</v>
      </c>
      <c r="E13" s="15">
        <f>E8-D8</f>
        <v>3728.3333333333358</v>
      </c>
      <c r="F13" s="15">
        <f>F8-E8</f>
        <v>3728.3333333333285</v>
      </c>
      <c r="G13" s="15">
        <f>G8-F8</f>
        <v>3728.3333333333358</v>
      </c>
      <c r="H13" s="12"/>
      <c r="I13" s="12"/>
      <c r="J13" s="12"/>
      <c r="K13" s="12"/>
      <c r="L13" s="12"/>
      <c r="M13" s="13"/>
      <c r="N13" s="2"/>
    </row>
    <row r="14" spans="1:14" x14ac:dyDescent="0.25">
      <c r="A14" s="11" t="s">
        <v>13</v>
      </c>
      <c r="B14" s="12" t="s">
        <v>6</v>
      </c>
      <c r="C14" s="15"/>
      <c r="D14" s="15">
        <v>6900</v>
      </c>
      <c r="E14" s="12">
        <f>D14+(G14-D14)/3</f>
        <v>6933.333333333333</v>
      </c>
      <c r="F14" s="12">
        <f>D14+2*(G14-D14)/3</f>
        <v>6966.666666666667</v>
      </c>
      <c r="G14" s="15">
        <v>7000</v>
      </c>
      <c r="H14" s="10"/>
      <c r="I14" s="10"/>
      <c r="J14" s="12"/>
      <c r="K14" s="12"/>
      <c r="L14" s="12"/>
      <c r="M14" s="13"/>
      <c r="N14" s="2"/>
    </row>
    <row r="15" spans="1:14" x14ac:dyDescent="0.25">
      <c r="A15" s="11" t="s">
        <v>14</v>
      </c>
      <c r="B15" s="12"/>
      <c r="C15" s="15"/>
      <c r="D15" s="15">
        <f>D4*D6</f>
        <v>4770</v>
      </c>
      <c r="E15" s="15">
        <f>D15+(G15-D15)/3</f>
        <v>5004.916666666667</v>
      </c>
      <c r="F15" s="15">
        <f>D15+2*(G15-D15)/3</f>
        <v>5239.833333333333</v>
      </c>
      <c r="G15" s="15">
        <f>G4*G6</f>
        <v>5474.75</v>
      </c>
      <c r="H15" s="12"/>
      <c r="I15" s="12"/>
      <c r="J15" s="12"/>
      <c r="K15" s="12"/>
      <c r="L15" s="12"/>
      <c r="M15" s="13"/>
      <c r="N15" s="2"/>
    </row>
    <row r="16" spans="1:14" x14ac:dyDescent="0.25">
      <c r="A16" s="11"/>
      <c r="B16" s="12"/>
      <c r="C16" s="12"/>
      <c r="D16" s="12"/>
      <c r="E16" s="12"/>
      <c r="F16" s="12"/>
      <c r="G16" s="12"/>
      <c r="H16" s="17" t="s">
        <v>15</v>
      </c>
      <c r="I16" s="17"/>
      <c r="J16" s="12"/>
      <c r="K16" s="12"/>
      <c r="L16" s="12"/>
      <c r="M16" s="13"/>
      <c r="N16" s="2"/>
    </row>
    <row r="17" spans="1:14" x14ac:dyDescent="0.25">
      <c r="A17" s="9" t="s">
        <v>16</v>
      </c>
      <c r="B17" s="10"/>
      <c r="C17" s="15"/>
      <c r="D17" s="15">
        <f>D11-D13-D15+D14+D12</f>
        <v>-521</v>
      </c>
      <c r="E17" s="15">
        <f>E11-E13-E15+E14+E12</f>
        <v>5200.2499999999973</v>
      </c>
      <c r="F17" s="15">
        <f>F11-F13-F15+F14+F12</f>
        <v>5444.8333333333385</v>
      </c>
      <c r="G17" s="15">
        <f>G11-G13-G15+G14+G12</f>
        <v>5689.4166666666642</v>
      </c>
      <c r="H17" s="15">
        <f>G17*(1+g_firm)/(WACC_5-g_firm)</f>
        <v>106504.56314958307</v>
      </c>
      <c r="I17" s="15"/>
      <c r="J17" s="6"/>
      <c r="K17" s="7"/>
      <c r="L17" s="7"/>
      <c r="M17" s="8"/>
    </row>
    <row r="18" spans="1:14" x14ac:dyDescent="0.25">
      <c r="A18" s="9" t="s">
        <v>17</v>
      </c>
      <c r="B18" s="10"/>
      <c r="C18" s="15"/>
      <c r="D18" s="15">
        <f>D17-D12+(D5-C5)</f>
        <v>1160</v>
      </c>
      <c r="E18" s="15">
        <f>E17-E12+(E5-D5)</f>
        <v>2760.0833333333294</v>
      </c>
      <c r="F18" s="15">
        <f>F17-F12+(F5-E5)</f>
        <v>3050.1666666666742</v>
      </c>
      <c r="G18" s="15">
        <f>G17-G12+(G5-F5)</f>
        <v>3340.2499999999964</v>
      </c>
      <c r="H18" s="15">
        <f>(G18+F5-G5+G5*g_firm)*(1+g_firm)/(H31-g_firm)</f>
        <v>85210.437145800563</v>
      </c>
      <c r="I18" s="15"/>
      <c r="J18" s="18" t="s">
        <v>18</v>
      </c>
      <c r="K18" s="7"/>
      <c r="L18" s="7"/>
      <c r="M18" s="8"/>
    </row>
    <row r="19" spans="1:14" x14ac:dyDescent="0.25">
      <c r="A19" s="9"/>
      <c r="B19" s="10"/>
      <c r="C19" s="15"/>
      <c r="D19" s="15"/>
      <c r="E19" s="15"/>
      <c r="F19" s="15"/>
      <c r="G19" s="15"/>
      <c r="H19" s="15"/>
      <c r="I19" s="15"/>
      <c r="J19" s="6"/>
      <c r="K19" s="7"/>
      <c r="L19" s="7"/>
      <c r="M19" s="8"/>
    </row>
    <row r="20" spans="1:14" x14ac:dyDescent="0.25">
      <c r="A20" s="4" t="s">
        <v>19</v>
      </c>
      <c r="B20" s="6"/>
      <c r="C20" s="6"/>
      <c r="D20" s="6"/>
      <c r="E20" s="6"/>
      <c r="F20" s="6"/>
      <c r="G20" s="6"/>
      <c r="H20" s="6"/>
      <c r="I20" s="6"/>
      <c r="J20" s="6"/>
      <c r="K20" s="7"/>
      <c r="L20" s="7"/>
      <c r="M20" s="8"/>
    </row>
    <row r="21" spans="1:14" x14ac:dyDescent="0.25">
      <c r="A21" s="19" t="s">
        <v>20</v>
      </c>
      <c r="B21" s="6">
        <v>0.9</v>
      </c>
      <c r="C21" s="6"/>
      <c r="D21" s="6"/>
      <c r="E21" s="6"/>
      <c r="F21" s="6"/>
      <c r="G21" s="6"/>
      <c r="H21" s="6"/>
      <c r="I21" s="6"/>
      <c r="J21" s="6" t="s">
        <v>21</v>
      </c>
      <c r="K21" s="7"/>
      <c r="L21" s="7"/>
      <c r="M21" s="8"/>
    </row>
    <row r="22" spans="1:14" x14ac:dyDescent="0.25">
      <c r="A22" s="19" t="s">
        <v>22</v>
      </c>
      <c r="B22" s="20">
        <f>B21/(1 + (1-tax_rate)*C5/C28)</f>
        <v>0.68634039444850259</v>
      </c>
      <c r="C22" s="6"/>
      <c r="D22" s="6"/>
      <c r="E22" s="6"/>
      <c r="F22" s="6"/>
      <c r="G22" s="6"/>
      <c r="H22" s="6"/>
      <c r="I22" s="6"/>
      <c r="J22" s="6" t="s">
        <v>23</v>
      </c>
      <c r="K22" s="7"/>
      <c r="L22" s="7"/>
      <c r="M22" s="8"/>
    </row>
    <row r="23" spans="1:14" x14ac:dyDescent="0.25">
      <c r="A23" s="9" t="s">
        <v>24</v>
      </c>
      <c r="B23" s="6">
        <v>2.5000000000000001E-2</v>
      </c>
      <c r="C23" s="6"/>
      <c r="D23" s="6"/>
      <c r="E23" s="6"/>
      <c r="F23" s="6"/>
      <c r="G23" s="6"/>
      <c r="H23" s="6"/>
      <c r="I23" s="6"/>
      <c r="J23" s="6"/>
      <c r="K23" s="7"/>
      <c r="L23" s="7"/>
      <c r="M23" s="8"/>
    </row>
    <row r="24" spans="1:14" x14ac:dyDescent="0.25">
      <c r="A24" s="9" t="s">
        <v>25</v>
      </c>
      <c r="B24" s="6">
        <v>0.35</v>
      </c>
      <c r="C24" s="6"/>
      <c r="D24" s="6"/>
      <c r="E24" s="6"/>
      <c r="F24" s="6"/>
      <c r="G24" s="6"/>
      <c r="H24" s="6"/>
      <c r="I24" s="6"/>
      <c r="J24" s="6" t="s">
        <v>21</v>
      </c>
      <c r="K24" s="7"/>
      <c r="L24" s="7"/>
      <c r="M24" s="8"/>
    </row>
    <row r="25" spans="1:14" x14ac:dyDescent="0.25">
      <c r="A25" s="9" t="s">
        <v>26</v>
      </c>
      <c r="B25" s="20">
        <v>4.2000000000000003E-2</v>
      </c>
      <c r="C25" s="6"/>
      <c r="D25" s="6"/>
      <c r="E25" s="6"/>
      <c r="F25" s="6"/>
      <c r="G25" s="6"/>
      <c r="H25" s="6"/>
      <c r="I25" s="6"/>
      <c r="J25" s="6" t="s">
        <v>27</v>
      </c>
      <c r="K25" s="7"/>
      <c r="L25" s="7"/>
      <c r="M25" s="8"/>
    </row>
    <row r="26" spans="1:14" x14ac:dyDescent="0.25">
      <c r="A26" s="19" t="s">
        <v>28</v>
      </c>
      <c r="B26" s="6">
        <v>2.9000000000000001E-2</v>
      </c>
      <c r="C26" s="6"/>
      <c r="D26" s="20"/>
      <c r="E26" s="20"/>
      <c r="F26" s="20"/>
      <c r="G26" s="20"/>
      <c r="H26" s="6"/>
      <c r="I26" s="6"/>
      <c r="J26" s="6"/>
      <c r="K26" s="7"/>
      <c r="L26" s="7"/>
      <c r="M26" s="8"/>
    </row>
    <row r="27" spans="1:14" x14ac:dyDescent="0.25">
      <c r="A27" s="19" t="s">
        <v>29</v>
      </c>
      <c r="B27" s="6">
        <v>0.08</v>
      </c>
      <c r="C27" s="6"/>
      <c r="D27" s="20"/>
      <c r="E27" s="20"/>
      <c r="F27" s="20"/>
      <c r="G27" s="20"/>
      <c r="H27" s="6"/>
      <c r="I27" s="6"/>
      <c r="J27" s="6"/>
      <c r="K27" s="7"/>
      <c r="L27" s="7"/>
      <c r="M27" s="8"/>
    </row>
    <row r="28" spans="1:14" x14ac:dyDescent="0.25">
      <c r="A28" s="11" t="s">
        <v>30</v>
      </c>
      <c r="B28" s="12"/>
      <c r="C28" s="12">
        <f>C3*C11</f>
        <v>57420</v>
      </c>
      <c r="D28" s="12"/>
      <c r="E28" s="12"/>
      <c r="F28" s="12"/>
      <c r="G28" s="12">
        <f>G3*G11</f>
        <v>100940</v>
      </c>
      <c r="H28" s="12"/>
      <c r="I28" s="12"/>
      <c r="J28" s="12" t="s">
        <v>31</v>
      </c>
      <c r="K28" s="7"/>
      <c r="L28" s="7"/>
      <c r="M28" s="8"/>
    </row>
    <row r="29" spans="1:14" x14ac:dyDescent="0.25">
      <c r="A29" s="9" t="s">
        <v>32</v>
      </c>
      <c r="B29" s="10"/>
      <c r="C29" s="10">
        <f>C5/(C5+C28)</f>
        <v>0.32383419689119169</v>
      </c>
      <c r="D29" s="10">
        <f>C29+(G29-C29)/4</f>
        <v>0.29250245408414732</v>
      </c>
      <c r="E29" s="10">
        <f>C29+2*(G29-C29)/4</f>
        <v>0.2611707112771029</v>
      </c>
      <c r="F29" s="10">
        <f>C29+3*(G29-C29)/4</f>
        <v>0.22983896847005852</v>
      </c>
      <c r="G29" s="10">
        <f>G5/(G5+G28)</f>
        <v>0.19850722566301413</v>
      </c>
      <c r="H29" s="10"/>
      <c r="I29" s="10"/>
      <c r="J29" s="6" t="s">
        <v>33</v>
      </c>
      <c r="K29" s="7"/>
      <c r="L29" s="7"/>
      <c r="M29" s="8"/>
    </row>
    <row r="30" spans="1:14" x14ac:dyDescent="0.25">
      <c r="A30" s="19" t="s">
        <v>34</v>
      </c>
      <c r="B30" s="6"/>
      <c r="C30" s="20">
        <f>$B22*(1+(1-tax_rate)*(C29/(1-C29)))</f>
        <v>0.90000000000000013</v>
      </c>
      <c r="D30" s="20">
        <f>$B22*(1+(1-tax_rate)*(D29/(1-D29)))</f>
        <v>0.87078140497484147</v>
      </c>
      <c r="E30" s="20">
        <f>$B22*(1+(1-tax_rate)*(E29/(1-E29)))</f>
        <v>0.84404097241152531</v>
      </c>
      <c r="F30" s="20">
        <f>$B22*(1+(1-tax_rate)*(F29/(1-F29)))</f>
        <v>0.81947625199494967</v>
      </c>
      <c r="G30" s="20">
        <f>$B22*(1+(1-tax_rate)*(G29/(1-G29)))</f>
        <v>0.79683208663978622</v>
      </c>
      <c r="H30" s="6"/>
      <c r="I30" s="6"/>
      <c r="J30" s="6" t="s">
        <v>35</v>
      </c>
      <c r="K30" s="7"/>
      <c r="L30" s="7"/>
      <c r="M30" s="8"/>
    </row>
    <row r="31" spans="1:14" x14ac:dyDescent="0.25">
      <c r="A31" s="9" t="s">
        <v>36</v>
      </c>
      <c r="B31" s="6"/>
      <c r="C31" s="20">
        <f>$B26+C30*$B27</f>
        <v>0.10100000000000001</v>
      </c>
      <c r="D31" s="20">
        <f>$B26+D30*$B27</f>
        <v>9.8662512397987318E-2</v>
      </c>
      <c r="E31" s="20">
        <f>$B26+E30*$B27</f>
        <v>9.6523277792922024E-2</v>
      </c>
      <c r="F31" s="20">
        <f>$B26+F30*$B27</f>
        <v>9.4558100159595967E-2</v>
      </c>
      <c r="G31" s="20">
        <f>$B26+G30*$B27</f>
        <v>9.2746566931182897E-2</v>
      </c>
      <c r="H31" s="20">
        <f>G31</f>
        <v>9.2746566931182897E-2</v>
      </c>
      <c r="I31" s="20"/>
      <c r="J31" s="6" t="s">
        <v>37</v>
      </c>
      <c r="K31" s="7"/>
      <c r="L31" s="7"/>
      <c r="M31" s="8"/>
    </row>
    <row r="32" spans="1:14" x14ac:dyDescent="0.25">
      <c r="A32" s="21" t="s">
        <v>38</v>
      </c>
      <c r="B32" s="20"/>
      <c r="C32" s="20">
        <f>C31*(1-C29) + rdebt*C29*(1-tax_rate)</f>
        <v>7.7133419689119173E-2</v>
      </c>
      <c r="D32" s="20">
        <f>D31*(1-D29) + rdebt*D29*(1-tax_rate)</f>
        <v>7.7788802391965645E-2</v>
      </c>
      <c r="E32" s="20">
        <f>E31*(1-E29) + rdebt*E29*(1-tax_rate)</f>
        <v>7.8444185094812102E-2</v>
      </c>
      <c r="F32" s="20">
        <f>F31*(1-F29) + rdebt*F29*(1-tax_rate)</f>
        <v>7.9099567797658546E-2</v>
      </c>
      <c r="G32" s="20">
        <f>G31*(1-G29) + rdebt*G29*(1-tax_rate)</f>
        <v>7.9754950500505004E-2</v>
      </c>
      <c r="H32" s="20">
        <f>G32</f>
        <v>7.9754950500505004E-2</v>
      </c>
      <c r="I32" s="20"/>
      <c r="J32" s="20" t="s">
        <v>39</v>
      </c>
      <c r="K32" s="20"/>
      <c r="L32" s="20"/>
      <c r="M32" s="22"/>
      <c r="N32" s="3"/>
    </row>
    <row r="33" spans="1:14" x14ac:dyDescent="0.25">
      <c r="A33" s="21" t="s">
        <v>40</v>
      </c>
      <c r="B33" s="20"/>
      <c r="C33" s="20">
        <v>1</v>
      </c>
      <c r="D33" s="20">
        <f>C33/(1+D32)</f>
        <v>0.92782556079695122</v>
      </c>
      <c r="E33" s="20">
        <f>D33/(1+E32)</f>
        <v>0.8603371167654642</v>
      </c>
      <c r="F33" s="20">
        <f>E33/(1+F32)</f>
        <v>0.79727315480380734</v>
      </c>
      <c r="G33" s="20">
        <f>F33/(1+G32)</f>
        <v>0.73838342156638659</v>
      </c>
      <c r="H33" s="20">
        <f>G33</f>
        <v>0.73838342156638659</v>
      </c>
      <c r="I33" s="20"/>
      <c r="J33" s="20" t="s">
        <v>41</v>
      </c>
      <c r="K33" s="20"/>
      <c r="L33" s="20"/>
      <c r="M33" s="22"/>
      <c r="N33" s="3"/>
    </row>
    <row r="34" spans="1:14" x14ac:dyDescent="0.25">
      <c r="A34" s="9" t="s">
        <v>42</v>
      </c>
      <c r="B34" s="6"/>
      <c r="C34" s="20">
        <v>1</v>
      </c>
      <c r="D34" s="20">
        <f>C34/(1+D31)</f>
        <v>0.91019761638845542</v>
      </c>
      <c r="E34" s="20">
        <f>D34/(1+E31)</f>
        <v>0.83007596356777569</v>
      </c>
      <c r="F34" s="20">
        <f>E34/(1+F31)</f>
        <v>0.75836628813650331</v>
      </c>
      <c r="G34" s="20">
        <f>F34/(1+G31)</f>
        <v>0.69400015619931243</v>
      </c>
      <c r="H34" s="20">
        <f>G34</f>
        <v>0.69400015619931243</v>
      </c>
      <c r="I34" s="20"/>
      <c r="J34" s="20" t="s">
        <v>43</v>
      </c>
      <c r="K34" s="7"/>
      <c r="L34" s="7"/>
      <c r="M34" s="8"/>
    </row>
    <row r="35" spans="1:14" x14ac:dyDescent="0.25">
      <c r="A35" s="9"/>
      <c r="B35" s="6"/>
      <c r="C35" s="20"/>
      <c r="D35" s="20"/>
      <c r="E35" s="20"/>
      <c r="F35" s="20"/>
      <c r="G35" s="20"/>
      <c r="H35" s="20"/>
      <c r="I35" s="20"/>
      <c r="J35" s="20"/>
      <c r="K35" s="7"/>
      <c r="L35" s="7"/>
      <c r="M35" s="8"/>
    </row>
    <row r="36" spans="1:14" x14ac:dyDescent="0.25">
      <c r="A36" s="4" t="s">
        <v>44</v>
      </c>
      <c r="B36" s="6"/>
      <c r="C36" s="6"/>
      <c r="D36" s="6"/>
      <c r="E36" s="6"/>
      <c r="F36" s="6"/>
      <c r="G36" s="6"/>
      <c r="H36" s="6"/>
      <c r="I36" s="6"/>
      <c r="J36" s="23" t="s">
        <v>45</v>
      </c>
      <c r="K36" s="24" t="s">
        <v>46</v>
      </c>
      <c r="L36" s="25" t="s">
        <v>47</v>
      </c>
      <c r="M36" s="8"/>
    </row>
    <row r="37" spans="1:14" x14ac:dyDescent="0.25">
      <c r="A37" s="26" t="s">
        <v>48</v>
      </c>
      <c r="B37" s="10"/>
      <c r="C37" s="12"/>
      <c r="D37" s="12">
        <f t="shared" ref="D37:H38" si="0">D17*D33</f>
        <v>-483.39711717521158</v>
      </c>
      <c r="E37" s="12">
        <f t="shared" si="0"/>
        <v>4473.9680914596029</v>
      </c>
      <c r="F37" s="12">
        <f t="shared" si="0"/>
        <v>4341.0194490476015</v>
      </c>
      <c r="G37" s="12">
        <f t="shared" si="0"/>
        <v>4200.9709450501578</v>
      </c>
      <c r="H37" s="12">
        <f t="shared" si="0"/>
        <v>78641.203750822446</v>
      </c>
      <c r="I37" s="12"/>
      <c r="J37" s="12">
        <f>SUM(D37:H37)</f>
        <v>91173.765119204589</v>
      </c>
      <c r="K37" s="12">
        <f>J37-C5</f>
        <v>63673.765119204589</v>
      </c>
      <c r="L37" s="10">
        <f>K37/C6</f>
        <v>35.374313955113664</v>
      </c>
      <c r="M37" s="8"/>
    </row>
    <row r="38" spans="1:14" x14ac:dyDescent="0.25">
      <c r="A38" s="27" t="s">
        <v>49</v>
      </c>
      <c r="B38" s="28"/>
      <c r="C38" s="29"/>
      <c r="D38" s="29">
        <f t="shared" si="0"/>
        <v>1055.8292350106083</v>
      </c>
      <c r="E38" s="29">
        <f t="shared" si="0"/>
        <v>2291.0788324440218</v>
      </c>
      <c r="F38" s="29">
        <f t="shared" si="0"/>
        <v>2313.1435731976967</v>
      </c>
      <c r="G38" s="29">
        <f t="shared" si="0"/>
        <v>2318.134021744751</v>
      </c>
      <c r="H38" s="29">
        <f t="shared" si="0"/>
        <v>59136.056688997283</v>
      </c>
      <c r="I38" s="29"/>
      <c r="J38" s="29">
        <f>SUM(D38:H38)</f>
        <v>67114.242351394365</v>
      </c>
      <c r="K38" s="29">
        <f>J38</f>
        <v>67114.242351394365</v>
      </c>
      <c r="L38" s="28">
        <f>K38/C6</f>
        <v>37.28569019521909</v>
      </c>
      <c r="M38" s="30"/>
    </row>
    <row r="39" spans="1:14" x14ac:dyDescent="0.25">
      <c r="K39" s="1"/>
      <c r="L39" s="1"/>
    </row>
  </sheetData>
  <phoneticPr fontId="0" type="noConversion"/>
  <printOptions headings="1" gridLines="1"/>
  <pageMargins left="0.25" right="0.25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Sprd 13.2</vt:lpstr>
      <vt:lpstr>g_firm</vt:lpstr>
      <vt:lpstr>rdebt</vt:lpstr>
      <vt:lpstr>tax_rate</vt:lpstr>
      <vt:lpstr>WACC_5</vt:lpstr>
    </vt:vector>
  </TitlesOfParts>
  <Company>The McGraw-Hill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Bathurst, Noelle</dc:creator>
  <cp:lastModifiedBy>IT Operations</cp:lastModifiedBy>
  <dcterms:created xsi:type="dcterms:W3CDTF">2012-08-07T16:15:18Z</dcterms:created>
  <dcterms:modified xsi:type="dcterms:W3CDTF">2012-08-13T01:44:41Z</dcterms:modified>
</cp:coreProperties>
</file>