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trlProps/ctrlProp1.xml" ContentType="application/vnd.ms-excel.controlproperties+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drawings/drawing10.xml" ContentType="application/vnd.openxmlformats-officedocument.drawing+xml"/>
  <Override PartName="/xl/charts/chart9.xml" ContentType="application/vnd.openxmlformats-officedocument.drawingml.chart+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20" windowWidth="11340" windowHeight="6285"/>
  </bookViews>
  <sheets>
    <sheet name="Exhibit 18.4" sheetId="1" r:id="rId1"/>
    <sheet name="Example 18.6 - 18.7" sheetId="4" r:id="rId2"/>
    <sheet name="Exhibit 18.8" sheetId="14" r:id="rId3"/>
    <sheet name="Exhibit 18.9" sheetId="5" r:id="rId4"/>
    <sheet name="Exhibit 18.10" sheetId="7" r:id="rId5"/>
    <sheet name="Exhibits 18.11 - 18.12" sheetId="9" r:id="rId6"/>
    <sheet name="Exhibits 18.15" sheetId="2" r:id="rId7"/>
    <sheet name="Exhibits 18.15 alternative" sheetId="16" r:id="rId8"/>
    <sheet name="Exhibit 18.16" sheetId="6" r:id="rId9"/>
    <sheet name="Solved Problem 1" sheetId="12" r:id="rId10"/>
    <sheet name="Solved Problem 3" sheetId="13" r:id="rId11"/>
    <sheet name="Solved Problem 4" sheetId="10" r:id="rId12"/>
  </sheets>
  <externalReferences>
    <externalReference r:id="rId13"/>
  </externalReferences>
  <definedNames>
    <definedName name="a">'[1]Linear Model'!$BC$23</definedName>
    <definedName name="Ad_Expense">'[1]Linear Model'!$C$8:$C$43</definedName>
    <definedName name="Adjusted_R_Square" localSheetId="7">'[1]Linear Model'!#REF!</definedName>
    <definedName name="Adjusted_R_Square">'[1]Linear Model'!#REF!</definedName>
    <definedName name="alpha" localSheetId="7">#REF!</definedName>
    <definedName name="alpha">#REF!</definedName>
    <definedName name="Alpha_1">[1]TrendAdjusted!$D$55</definedName>
    <definedName name="Alpha_2">[1]TrendAdjusted!$D$56</definedName>
    <definedName name="Answer">'[1]Linear Model'!$AH$6:$AH$62</definedName>
    <definedName name="Answer_allowance">'[1]Linear Model'!$AX$11</definedName>
    <definedName name="B">'[1]Linear Model'!$BC$24</definedName>
    <definedName name="Begin_Time">'[1]Linear Model'!$AH$74</definedName>
    <definedName name="Computed_t">'[1]Linear Model'!$AX$16</definedName>
    <definedName name="Confidence_level">'[1]Linear Model'!$AX$10</definedName>
    <definedName name="Critical_t">'[1]Linear Model'!$AX$17</definedName>
    <definedName name="dfE">'[1]Linear Model'!$BN$47</definedName>
    <definedName name="dfTR" localSheetId="7">'[1]Linear Model'!#REF!</definedName>
    <definedName name="dfTR">'[1]Linear Model'!#REF!</definedName>
    <definedName name="Diff">'[1]Linear Model'!$AC$16:$AC$67</definedName>
    <definedName name="Direction_randomizer" localSheetId="7">'[1]Linear Model'!#REF!</definedName>
    <definedName name="Direction_randomizer">'[1]Linear Model'!#REF!</definedName>
    <definedName name="Elapsed_Time__hours">'[1]Linear Model'!$AH$77</definedName>
    <definedName name="Elapsed_Time__mins">'[1]Linear Model'!$AH$76</definedName>
    <definedName name="End_Time">'[1]Linear Model'!$AH$75</definedName>
    <definedName name="Graph">'[1]Linear Model'!$A$175:$J$218</definedName>
    <definedName name="Intercept">'[1]Linear Model'!$BM$51</definedName>
    <definedName name="LookupTable" localSheetId="7">#REF!</definedName>
    <definedName name="LookupTable">#REF!</definedName>
    <definedName name="LookupTable_TAdjusted">[1]TrendAdjusted!$B$8:$D$36</definedName>
    <definedName name="MSE" localSheetId="7">'[1]Linear Model'!#REF!</definedName>
    <definedName name="MSE">'[1]Linear Model'!#REF!</definedName>
    <definedName name="MSTR" localSheetId="7">'[1]Linear Model'!#REF!</definedName>
    <definedName name="MSTR">'[1]Linear Model'!#REF!</definedName>
    <definedName name="Multiple_R" localSheetId="7">'[1]Linear Model'!#REF!</definedName>
    <definedName name="Multiple_R">'[1]Linear Model'!#REF!</definedName>
    <definedName name="n">'[1]Linear Model'!$AX$15</definedName>
    <definedName name="Observations">'[1]Linear Model'!$BM$41</definedName>
    <definedName name="PlannedAdExpense">'[1]Linear Model'!$AX$12</definedName>
    <definedName name="Points">'[1]Linear Model'!$AI$5:$AI$22</definedName>
    <definedName name="pvalue">'[1]Linear Model'!$AH$57</definedName>
    <definedName name="R_Square">'[1]Linear Model'!$BM$39</definedName>
    <definedName name="Randomizer">'[1]Linear Model'!$AX$9</definedName>
    <definedName name="Regression_Output">'[1]Linear Model'!$BK$32:$BS$75</definedName>
    <definedName name="s">'[1]Linear Model'!$BM$40</definedName>
    <definedName name="Sales">'[1]Linear Model'!$D$8:$D$43</definedName>
    <definedName name="Significance_level">'[1]Linear Model'!$AX$8</definedName>
    <definedName name="Significance_level_table">'[1]Linear Model'!$AX$1:$AZ$1</definedName>
    <definedName name="Slope">'[1]Linear Model'!$BM$52</definedName>
    <definedName name="slope_p_value">'[1]Linear Model'!$BP$52</definedName>
    <definedName name="Smoothing_Constant" localSheetId="7">#REF!</definedName>
    <definedName name="Smoothing_Constant">#REF!</definedName>
    <definedName name="SSE">'[1]Linear Model'!$BM$47</definedName>
    <definedName name="SSR">'[1]Linear Model'!$BM$46</definedName>
    <definedName name="SSTR" localSheetId="7">'[1]Linear Model'!#REF!</definedName>
    <definedName name="SSTR">'[1]Linear Model'!#REF!</definedName>
    <definedName name="SSx">'[1]Linear Model'!$BC$26</definedName>
    <definedName name="SSxy">'[1]Linear Model'!$BC$25</definedName>
    <definedName name="SSy">'[1]Linear Model'!$BC$27</definedName>
    <definedName name="Time_period">[1]TrendAdjusted!$D$57</definedName>
    <definedName name="Time_Period1" localSheetId="7">#REF!</definedName>
    <definedName name="Time_Period1">#REF!</definedName>
    <definedName name="TimePeriod1">[1]TrendAdjusted!$D$57</definedName>
    <definedName name="x">'[1]Linear Model'!$BB$34:$BB$76</definedName>
    <definedName name="x2_">'[1]Linear Model'!$BD$34:$BD$76</definedName>
    <definedName name="XY">'[1]Linear Model'!$BF$34:$BF$76</definedName>
    <definedName name="y">'[1]Linear Model'!$BC$34:$BC$76</definedName>
    <definedName name="Y_hat">'[1]Linear Model'!$AH$42</definedName>
    <definedName name="Y_hat_LL">'[1]Linear Model'!$AX$15</definedName>
    <definedName name="Y_hat_UL">'[1]Linear Model'!$AX$14</definedName>
    <definedName name="y2_">'[1]Linear Model'!$BE$34:$BE$76</definedName>
    <definedName name="Ybar">'[1]Linear Model'!$BG$34:$BG$76</definedName>
    <definedName name="Year">'[1]Linear Model'!$B$8:$B$51</definedName>
    <definedName name="Your_Answer">'[1]Linear Model'!$AG$6:$AG$67</definedName>
  </definedNames>
  <calcPr calcId="145621"/>
</workbook>
</file>

<file path=xl/calcChain.xml><?xml version="1.0" encoding="utf-8"?>
<calcChain xmlns="http://schemas.openxmlformats.org/spreadsheetml/2006/main">
  <c r="O14" i="13" l="1"/>
  <c r="O15" i="13"/>
  <c r="O16" i="13"/>
  <c r="O13" i="13"/>
  <c r="O10" i="13"/>
  <c r="O11" i="13"/>
  <c r="O12" i="13"/>
  <c r="O9" i="13"/>
  <c r="G8" i="13"/>
  <c r="H8" i="13"/>
  <c r="I8" i="13"/>
  <c r="G9" i="13"/>
  <c r="H9" i="13"/>
  <c r="I9" i="13"/>
  <c r="G10" i="13"/>
  <c r="H10" i="13"/>
  <c r="I10" i="13"/>
  <c r="G11" i="13"/>
  <c r="H11" i="13"/>
  <c r="I11" i="13"/>
  <c r="G12" i="13"/>
  <c r="H12" i="13"/>
  <c r="I12" i="13"/>
  <c r="G13" i="13"/>
  <c r="H13" i="13"/>
  <c r="I13" i="13"/>
  <c r="G14" i="13"/>
  <c r="H14" i="13"/>
  <c r="I14" i="13"/>
  <c r="G15" i="13"/>
  <c r="H15" i="13"/>
  <c r="I15" i="13"/>
  <c r="J15" i="13"/>
  <c r="G16" i="13"/>
  <c r="H16" i="13"/>
  <c r="I16" i="13"/>
  <c r="J16" i="13"/>
  <c r="G17" i="13"/>
  <c r="H17" i="13"/>
  <c r="I17" i="13"/>
  <c r="J17" i="13"/>
  <c r="G18" i="13"/>
  <c r="H18" i="13"/>
  <c r="I18" i="13"/>
  <c r="J18" i="13"/>
  <c r="I7" i="13"/>
  <c r="H7" i="13"/>
  <c r="G7" i="13"/>
  <c r="C19" i="13"/>
  <c r="B19" i="13"/>
  <c r="I22" i="13" s="1"/>
  <c r="D10" i="13"/>
  <c r="D9" i="13"/>
  <c r="D8" i="13"/>
  <c r="D7" i="13"/>
  <c r="E7" i="13" s="1"/>
  <c r="F21" i="16"/>
  <c r="E21" i="16"/>
  <c r="F20" i="16"/>
  <c r="E20" i="16"/>
  <c r="D11" i="16"/>
  <c r="E10" i="16"/>
  <c r="G10" i="16" s="1"/>
  <c r="E9" i="16"/>
  <c r="G9" i="16" s="1"/>
  <c r="E8" i="16"/>
  <c r="G8" i="16" s="1"/>
  <c r="E7" i="16"/>
  <c r="G7" i="16" s="1"/>
  <c r="E6" i="16"/>
  <c r="G6" i="16" s="1"/>
  <c r="E5" i="16"/>
  <c r="G5" i="16" s="1"/>
  <c r="H5" i="16" s="1"/>
  <c r="I5" i="16" s="1"/>
  <c r="D11" i="2"/>
  <c r="E8" i="13" l="1"/>
  <c r="E9" i="13"/>
  <c r="E10" i="13"/>
  <c r="H6" i="16"/>
  <c r="I6" i="16" s="1"/>
  <c r="H7" i="16"/>
  <c r="I7" i="16" s="1"/>
  <c r="H8" i="16"/>
  <c r="I8" i="16" s="1"/>
  <c r="H9" i="16"/>
  <c r="I9" i="16" s="1"/>
  <c r="H10" i="16"/>
  <c r="F5" i="16"/>
  <c r="J5" i="16" s="1"/>
  <c r="F6" i="16"/>
  <c r="J6" i="16" s="1"/>
  <c r="F7" i="16"/>
  <c r="J7" i="16" s="1"/>
  <c r="F8" i="16"/>
  <c r="J8" i="16" s="1"/>
  <c r="F9" i="16"/>
  <c r="J9" i="16" s="1"/>
  <c r="F10" i="16"/>
  <c r="E12" i="16" l="1"/>
  <c r="E13" i="16" s="1"/>
  <c r="I10" i="16"/>
  <c r="J10" i="16" s="1"/>
  <c r="C24" i="4"/>
  <c r="E14" i="16" l="1"/>
  <c r="E9" i="9"/>
  <c r="E14" i="7"/>
  <c r="E8" i="7"/>
  <c r="E9" i="7"/>
  <c r="E10" i="7"/>
  <c r="E11" i="7"/>
  <c r="E12" i="7"/>
  <c r="E13" i="7"/>
  <c r="E7" i="7"/>
  <c r="F7" i="7"/>
  <c r="F14" i="7" l="1"/>
  <c r="F13" i="7"/>
  <c r="F12" i="7"/>
  <c r="F11" i="7"/>
  <c r="I7" i="7" s="1"/>
  <c r="F10" i="7"/>
  <c r="I10" i="7" s="1"/>
  <c r="F9" i="7"/>
  <c r="I9" i="7" s="1"/>
  <c r="F8" i="7"/>
  <c r="I8" i="7" s="1"/>
  <c r="M13" i="13"/>
  <c r="P13" i="13"/>
  <c r="M14" i="13"/>
  <c r="P14" i="13"/>
  <c r="M15" i="13"/>
  <c r="P15" i="13"/>
  <c r="M16" i="13"/>
  <c r="P16" i="13"/>
  <c r="F19" i="13"/>
  <c r="G19" i="13"/>
  <c r="H19" i="13"/>
  <c r="I19" i="13"/>
  <c r="I23" i="13"/>
  <c r="I24" i="13"/>
  <c r="I25" i="13"/>
  <c r="H20" i="12"/>
  <c r="H21" i="12"/>
  <c r="H22" i="12"/>
  <c r="H23" i="12"/>
  <c r="H24" i="12"/>
  <c r="H26" i="12"/>
  <c r="C33" i="12"/>
  <c r="D33" i="12"/>
  <c r="E33" i="12"/>
  <c r="F33" i="12"/>
  <c r="H33" i="12"/>
  <c r="C34" i="12"/>
  <c r="D34" i="12"/>
  <c r="E34" i="12"/>
  <c r="F34" i="12"/>
  <c r="H34" i="12"/>
  <c r="C35" i="12"/>
  <c r="D35" i="12"/>
  <c r="E35" i="12"/>
  <c r="F35" i="12"/>
  <c r="H35" i="12"/>
  <c r="C36" i="12"/>
  <c r="D36" i="12"/>
  <c r="E36" i="12"/>
  <c r="F36" i="12"/>
  <c r="H36" i="12"/>
  <c r="C37" i="12"/>
  <c r="D37" i="12"/>
  <c r="E37" i="12"/>
  <c r="F37" i="12"/>
  <c r="H37" i="12"/>
  <c r="C39" i="12"/>
  <c r="D39" i="12"/>
  <c r="E39" i="12"/>
  <c r="F39" i="12"/>
  <c r="H39" i="12"/>
  <c r="C40" i="12"/>
  <c r="D40" i="12"/>
  <c r="E40" i="12"/>
  <c r="F40" i="12"/>
  <c r="H40" i="12"/>
  <c r="B21" i="10"/>
  <c r="C21" i="10"/>
  <c r="D21" i="10"/>
  <c r="E21" i="10"/>
  <c r="F21" i="10"/>
  <c r="G21" i="10"/>
  <c r="H21" i="10"/>
  <c r="B22" i="10"/>
  <c r="C22" i="10"/>
  <c r="D22" i="10"/>
  <c r="E22" i="10"/>
  <c r="F22" i="10"/>
  <c r="G22" i="10"/>
  <c r="H22" i="10"/>
  <c r="B23" i="10"/>
  <c r="C23" i="10"/>
  <c r="D23" i="10"/>
  <c r="E23" i="10"/>
  <c r="F23" i="10"/>
  <c r="G23" i="10"/>
  <c r="H23" i="10"/>
  <c r="B24" i="10"/>
  <c r="C24" i="10"/>
  <c r="D24" i="10"/>
  <c r="E24" i="10"/>
  <c r="F24" i="10"/>
  <c r="G24" i="10"/>
  <c r="H24" i="10"/>
  <c r="B25" i="10"/>
  <c r="C25" i="10"/>
  <c r="D25" i="10"/>
  <c r="E25" i="10"/>
  <c r="F25" i="10"/>
  <c r="G25" i="10"/>
  <c r="H25" i="10"/>
  <c r="B26" i="10"/>
  <c r="C26" i="10"/>
  <c r="D26" i="10"/>
  <c r="E26" i="10"/>
  <c r="F26" i="10"/>
  <c r="G26" i="10"/>
  <c r="H26" i="10"/>
  <c r="B27" i="10"/>
  <c r="C27" i="10"/>
  <c r="D27" i="10"/>
  <c r="E27" i="10"/>
  <c r="F27" i="10"/>
  <c r="G27" i="10"/>
  <c r="H27" i="10"/>
  <c r="B28" i="10"/>
  <c r="C28" i="10"/>
  <c r="D28" i="10"/>
  <c r="E28" i="10"/>
  <c r="F28" i="10"/>
  <c r="G28" i="10"/>
  <c r="H28" i="10"/>
  <c r="B29" i="10"/>
  <c r="C29" i="10"/>
  <c r="D29" i="10"/>
  <c r="E29" i="10"/>
  <c r="F29" i="10"/>
  <c r="G29" i="10"/>
  <c r="H29" i="10"/>
  <c r="B30" i="10"/>
  <c r="C30" i="10"/>
  <c r="D30" i="10"/>
  <c r="E30" i="10"/>
  <c r="F30" i="10"/>
  <c r="G30" i="10"/>
  <c r="H30" i="10"/>
  <c r="B31" i="10"/>
  <c r="C31" i="10"/>
  <c r="D31" i="10"/>
  <c r="E31" i="10"/>
  <c r="F31" i="10"/>
  <c r="G31" i="10"/>
  <c r="H31" i="10"/>
  <c r="B32" i="10"/>
  <c r="C32" i="10"/>
  <c r="D32" i="10"/>
  <c r="E32" i="10"/>
  <c r="F32" i="10"/>
  <c r="G32" i="10"/>
  <c r="H32" i="10"/>
  <c r="B33" i="10"/>
  <c r="C33" i="10"/>
  <c r="D33" i="10"/>
  <c r="E33" i="10"/>
  <c r="F33" i="10"/>
  <c r="G33" i="10"/>
  <c r="H33" i="10"/>
  <c r="D34" i="10"/>
  <c r="F34" i="10"/>
  <c r="G34" i="10"/>
  <c r="G37" i="10"/>
  <c r="E8" i="9"/>
  <c r="E10" i="9"/>
  <c r="E11" i="9"/>
  <c r="F8" i="9"/>
  <c r="G8" i="9"/>
  <c r="I8" i="9"/>
  <c r="F9" i="9"/>
  <c r="G9" i="9"/>
  <c r="I9" i="9"/>
  <c r="F10" i="9"/>
  <c r="G10" i="9"/>
  <c r="I10" i="9"/>
  <c r="F11" i="9"/>
  <c r="G11" i="9"/>
  <c r="I11" i="9"/>
  <c r="F12" i="9"/>
  <c r="G12" i="9"/>
  <c r="I12" i="9"/>
  <c r="F13" i="9"/>
  <c r="G13" i="9"/>
  <c r="I13" i="9"/>
  <c r="F14" i="9"/>
  <c r="G14" i="9"/>
  <c r="I14" i="9"/>
  <c r="F15" i="9"/>
  <c r="G15" i="9"/>
  <c r="I15" i="9"/>
  <c r="F16" i="9"/>
  <c r="G16" i="9"/>
  <c r="I16" i="9"/>
  <c r="F17" i="9"/>
  <c r="G17" i="9"/>
  <c r="I17" i="9"/>
  <c r="F18" i="9"/>
  <c r="G18" i="9"/>
  <c r="I18" i="9"/>
  <c r="F19" i="9"/>
  <c r="G19" i="9"/>
  <c r="I19" i="9"/>
  <c r="I21" i="9"/>
  <c r="H8" i="9"/>
  <c r="H9" i="9"/>
  <c r="H10" i="9"/>
  <c r="H11" i="9"/>
  <c r="H12" i="9"/>
  <c r="H13" i="9"/>
  <c r="H14" i="9"/>
  <c r="H15" i="9"/>
  <c r="H16" i="9"/>
  <c r="H17" i="9"/>
  <c r="H18" i="9"/>
  <c r="H19" i="9"/>
  <c r="H21" i="9"/>
  <c r="G21" i="9"/>
  <c r="F21" i="9"/>
  <c r="D21" i="9"/>
  <c r="B21" i="9"/>
  <c r="C19" i="4"/>
  <c r="C22" i="4"/>
  <c r="D6" i="4"/>
  <c r="D7" i="4"/>
  <c r="D8" i="4"/>
  <c r="D9" i="4"/>
  <c r="D10" i="4"/>
  <c r="D11" i="4"/>
  <c r="D12" i="4"/>
  <c r="D13" i="4"/>
  <c r="D14" i="4"/>
  <c r="D15" i="4"/>
  <c r="D16" i="4"/>
  <c r="D17" i="4"/>
  <c r="D19" i="4"/>
  <c r="B19" i="4"/>
  <c r="C21" i="4"/>
  <c r="E6" i="4"/>
  <c r="E7" i="4"/>
  <c r="E8" i="4"/>
  <c r="E9" i="4"/>
  <c r="E10" i="4"/>
  <c r="E11" i="4"/>
  <c r="E12" i="4"/>
  <c r="E13" i="4"/>
  <c r="E14" i="4"/>
  <c r="E15" i="4"/>
  <c r="E16" i="4"/>
  <c r="E17" i="4"/>
  <c r="E19" i="4"/>
  <c r="E21" i="4"/>
  <c r="E22" i="4"/>
  <c r="G17" i="4"/>
  <c r="G16" i="4"/>
  <c r="G15" i="4"/>
  <c r="G14" i="4"/>
  <c r="G13" i="4"/>
  <c r="G12" i="4"/>
  <c r="G11" i="4"/>
  <c r="G10" i="4"/>
  <c r="G9" i="4"/>
  <c r="G8" i="4"/>
  <c r="G7" i="4"/>
  <c r="G6" i="4"/>
  <c r="F7" i="4"/>
  <c r="F8" i="4"/>
  <c r="F9" i="4"/>
  <c r="F10" i="4"/>
  <c r="F11" i="4"/>
  <c r="F12" i="4"/>
  <c r="F13" i="4"/>
  <c r="F14" i="4"/>
  <c r="F15" i="4"/>
  <c r="F16" i="4"/>
  <c r="F17" i="4"/>
  <c r="F6" i="4"/>
  <c r="F19" i="4"/>
  <c r="E4" i="5"/>
  <c r="F16" i="5"/>
  <c r="F14" i="5"/>
  <c r="F13" i="5"/>
  <c r="F12" i="5"/>
  <c r="F15" i="5"/>
  <c r="F11" i="5"/>
  <c r="F10" i="5"/>
  <c r="F9" i="5"/>
  <c r="F8" i="5"/>
  <c r="F7" i="5"/>
  <c r="F6" i="5"/>
  <c r="F5" i="5"/>
  <c r="F20" i="5"/>
  <c r="G20" i="5"/>
  <c r="F21" i="5"/>
  <c r="G21" i="5"/>
  <c r="F22" i="5"/>
  <c r="G22" i="5"/>
  <c r="F23" i="5"/>
  <c r="G23" i="5"/>
  <c r="F24" i="5"/>
  <c r="G24" i="5"/>
  <c r="F25" i="5"/>
  <c r="G25" i="5"/>
  <c r="F26" i="5"/>
  <c r="G26" i="5"/>
  <c r="F27" i="5"/>
  <c r="G27" i="5"/>
  <c r="F28" i="5"/>
  <c r="G28" i="5"/>
  <c r="F29" i="5"/>
  <c r="G29" i="5"/>
  <c r="F30" i="5"/>
  <c r="G30" i="5"/>
  <c r="F31" i="5"/>
  <c r="G31" i="5"/>
  <c r="F32" i="5"/>
  <c r="G32" i="5"/>
  <c r="F33" i="5"/>
  <c r="G33" i="5"/>
  <c r="F34" i="5"/>
  <c r="G34" i="5"/>
  <c r="F35" i="5"/>
  <c r="G35" i="5"/>
  <c r="F36" i="5"/>
  <c r="G36" i="5"/>
  <c r="F37" i="5"/>
  <c r="G37" i="5"/>
  <c r="F38" i="5"/>
  <c r="G38" i="5"/>
  <c r="F39" i="5"/>
  <c r="G39" i="5"/>
  <c r="F40" i="5"/>
  <c r="G40" i="5"/>
  <c r="F41" i="5"/>
  <c r="G41" i="5"/>
  <c r="F42" i="5"/>
  <c r="G42" i="5"/>
  <c r="F43" i="5"/>
  <c r="G43" i="5"/>
  <c r="F44" i="5"/>
  <c r="G44" i="5"/>
  <c r="F45" i="5"/>
  <c r="G45" i="5"/>
  <c r="F46" i="5"/>
  <c r="G46" i="5"/>
  <c r="F47" i="5"/>
  <c r="G47" i="5"/>
  <c r="F48" i="5"/>
  <c r="G48" i="5"/>
  <c r="F49" i="5"/>
  <c r="G49" i="5"/>
  <c r="F50" i="5"/>
  <c r="G50" i="5"/>
  <c r="F51" i="5"/>
  <c r="G51" i="5"/>
  <c r="F52" i="5"/>
  <c r="G52" i="5"/>
  <c r="F53" i="5"/>
  <c r="G53" i="5"/>
  <c r="F54" i="5"/>
  <c r="G54" i="5"/>
  <c r="F55" i="5"/>
  <c r="G55" i="5"/>
  <c r="F56" i="5"/>
  <c r="G56" i="5"/>
  <c r="F57" i="5"/>
  <c r="G57" i="5"/>
  <c r="F58" i="5"/>
  <c r="G58" i="5"/>
  <c r="F59" i="5"/>
  <c r="G59" i="5"/>
  <c r="F60" i="5"/>
  <c r="G60" i="5"/>
  <c r="F61" i="5"/>
  <c r="G61" i="5"/>
  <c r="F62" i="5"/>
  <c r="G62" i="5"/>
  <c r="F63" i="5"/>
  <c r="G63" i="5"/>
  <c r="F64" i="5"/>
  <c r="G64" i="5"/>
  <c r="F65" i="5"/>
  <c r="G65" i="5"/>
  <c r="F66" i="5"/>
  <c r="G66" i="5"/>
  <c r="F19" i="5"/>
  <c r="G19" i="5"/>
  <c r="D6" i="5"/>
  <c r="D20" i="5"/>
  <c r="E20" i="5"/>
  <c r="D7" i="5"/>
  <c r="D21" i="5"/>
  <c r="E21" i="5"/>
  <c r="D8" i="5"/>
  <c r="D22" i="5"/>
  <c r="E22" i="5"/>
  <c r="D9" i="5"/>
  <c r="D23" i="5"/>
  <c r="E23" i="5"/>
  <c r="D10" i="5"/>
  <c r="D24" i="5"/>
  <c r="E24" i="5"/>
  <c r="D11" i="5"/>
  <c r="D25" i="5"/>
  <c r="E25" i="5"/>
  <c r="D12" i="5"/>
  <c r="D26" i="5"/>
  <c r="E26" i="5"/>
  <c r="D13" i="5"/>
  <c r="D27" i="5"/>
  <c r="E27" i="5"/>
  <c r="D14" i="5"/>
  <c r="D28" i="5"/>
  <c r="E28" i="5"/>
  <c r="D15" i="5"/>
  <c r="D29" i="5"/>
  <c r="E29" i="5"/>
  <c r="D16" i="5"/>
  <c r="D30" i="5"/>
  <c r="E30" i="5"/>
  <c r="D5" i="5"/>
  <c r="D31" i="5"/>
  <c r="E31" i="5"/>
  <c r="D32" i="5"/>
  <c r="E32" i="5"/>
  <c r="D33" i="5"/>
  <c r="E33" i="5"/>
  <c r="D34" i="5"/>
  <c r="E34" i="5"/>
  <c r="D35" i="5"/>
  <c r="E35" i="5"/>
  <c r="D36" i="5"/>
  <c r="E36" i="5"/>
  <c r="D37" i="5"/>
  <c r="E37" i="5"/>
  <c r="D38" i="5"/>
  <c r="E38" i="5"/>
  <c r="D39" i="5"/>
  <c r="E39" i="5"/>
  <c r="D40" i="5"/>
  <c r="E40" i="5"/>
  <c r="D41" i="5"/>
  <c r="E41" i="5"/>
  <c r="D42" i="5"/>
  <c r="E42" i="5"/>
  <c r="D43" i="5"/>
  <c r="E43" i="5"/>
  <c r="D44" i="5"/>
  <c r="E44" i="5"/>
  <c r="D45" i="5"/>
  <c r="E45" i="5"/>
  <c r="D46" i="5"/>
  <c r="E46" i="5"/>
  <c r="D47" i="5"/>
  <c r="E47" i="5"/>
  <c r="D48" i="5"/>
  <c r="E48" i="5"/>
  <c r="D49" i="5"/>
  <c r="E49" i="5"/>
  <c r="D50" i="5"/>
  <c r="E50" i="5"/>
  <c r="D51" i="5"/>
  <c r="E51" i="5"/>
  <c r="D52" i="5"/>
  <c r="E52" i="5"/>
  <c r="D53" i="5"/>
  <c r="E53" i="5"/>
  <c r="D54" i="5"/>
  <c r="E54" i="5"/>
  <c r="D55" i="5"/>
  <c r="E55" i="5"/>
  <c r="D56" i="5"/>
  <c r="E56" i="5"/>
  <c r="D57" i="5"/>
  <c r="E57" i="5"/>
  <c r="D58" i="5"/>
  <c r="E58" i="5"/>
  <c r="D59" i="5"/>
  <c r="E59" i="5"/>
  <c r="D60" i="5"/>
  <c r="E60" i="5"/>
  <c r="D61" i="5"/>
  <c r="E61" i="5"/>
  <c r="D62" i="5"/>
  <c r="E62" i="5"/>
  <c r="D63" i="5"/>
  <c r="E63" i="5"/>
  <c r="D64" i="5"/>
  <c r="E64" i="5"/>
  <c r="D65" i="5"/>
  <c r="E65" i="5"/>
  <c r="D66" i="5"/>
  <c r="E66" i="5"/>
  <c r="D19" i="5"/>
  <c r="E19" i="5"/>
  <c r="D21" i="1"/>
  <c r="E21" i="1"/>
  <c r="D22" i="1"/>
  <c r="E22" i="1"/>
  <c r="D23" i="1"/>
  <c r="E23" i="1"/>
  <c r="D24" i="1"/>
  <c r="E24" i="1"/>
  <c r="D25" i="1"/>
  <c r="E25" i="1"/>
  <c r="D26" i="1"/>
  <c r="E26" i="1"/>
  <c r="D27" i="1"/>
  <c r="E27" i="1"/>
  <c r="D28" i="1"/>
  <c r="E28" i="1"/>
  <c r="D29" i="1"/>
  <c r="E29" i="1"/>
  <c r="D30" i="1"/>
  <c r="E30" i="1"/>
  <c r="D31" i="1"/>
  <c r="E31" i="1"/>
  <c r="D32" i="1"/>
  <c r="E32" i="1"/>
  <c r="D33" i="1"/>
  <c r="E33" i="1"/>
  <c r="D34" i="1"/>
  <c r="E34" i="1"/>
  <c r="D35" i="1"/>
  <c r="E35" i="1"/>
  <c r="E20" i="1"/>
  <c r="D20" i="1"/>
  <c r="E19" i="1"/>
  <c r="D19" i="1"/>
  <c r="E18" i="1"/>
  <c r="D18" i="1"/>
  <c r="E17" i="1"/>
  <c r="D17" i="1"/>
  <c r="E16" i="1"/>
  <c r="D16" i="1"/>
  <c r="E15" i="1"/>
  <c r="D15" i="1"/>
  <c r="D14" i="1"/>
  <c r="D13" i="1"/>
  <c r="D12" i="1"/>
  <c r="D11" i="1"/>
  <c r="D10" i="1"/>
  <c r="D9" i="1"/>
  <c r="F18" i="2"/>
  <c r="F17" i="2"/>
  <c r="E18" i="2"/>
  <c r="E17" i="2"/>
  <c r="E10" i="2"/>
  <c r="E9" i="2"/>
  <c r="E8" i="2"/>
  <c r="E7" i="2"/>
  <c r="E6" i="2"/>
  <c r="E5" i="2"/>
  <c r="F5" i="2"/>
  <c r="F6" i="2"/>
  <c r="F7" i="2"/>
  <c r="F8" i="2"/>
  <c r="G10" i="2"/>
  <c r="G9" i="2"/>
  <c r="G8" i="2"/>
  <c r="G7" i="2"/>
  <c r="G6" i="2"/>
  <c r="G5" i="2"/>
  <c r="H5" i="2"/>
  <c r="H6" i="2"/>
  <c r="H7" i="2"/>
  <c r="H8" i="2"/>
  <c r="H9" i="2"/>
  <c r="H10" i="2"/>
  <c r="E12" i="2"/>
  <c r="E13" i="2" s="1"/>
  <c r="I10" i="2"/>
  <c r="I9" i="2"/>
  <c r="I8" i="2"/>
  <c r="J8" i="2"/>
  <c r="I7" i="2"/>
  <c r="J7" i="2"/>
  <c r="I6" i="2"/>
  <c r="J6" i="2"/>
  <c r="I5" i="2"/>
  <c r="J5" i="2"/>
  <c r="G39" i="10" l="1"/>
  <c r="C34" i="10"/>
  <c r="G41" i="10" s="1"/>
  <c r="J8" i="13"/>
  <c r="J9" i="13"/>
  <c r="J10" i="13"/>
  <c r="J11" i="13"/>
  <c r="J12" i="13"/>
  <c r="J13" i="13"/>
  <c r="J14" i="13"/>
  <c r="J7" i="13"/>
  <c r="I27" i="13"/>
  <c r="F9" i="2"/>
  <c r="F10" i="2"/>
  <c r="J9" i="2"/>
  <c r="M12" i="13"/>
  <c r="P12" i="13" s="1"/>
  <c r="M11" i="13"/>
  <c r="P11" i="13" s="1"/>
  <c r="M10" i="13"/>
  <c r="P10" i="13" s="1"/>
  <c r="M9" i="13"/>
  <c r="P9" i="13" s="1"/>
  <c r="E14" i="13" l="1"/>
  <c r="E13" i="13"/>
  <c r="E12" i="13"/>
  <c r="E11" i="13"/>
  <c r="E14" i="2"/>
  <c r="J10" i="2"/>
  <c r="E15" i="13" l="1"/>
  <c r="E16" i="13"/>
  <c r="E17" i="13"/>
  <c r="E18" i="13"/>
  <c r="E19" i="13" l="1"/>
</calcChain>
</file>

<file path=xl/sharedStrings.xml><?xml version="1.0" encoding="utf-8"?>
<sst xmlns="http://schemas.openxmlformats.org/spreadsheetml/2006/main" count="282" uniqueCount="161">
  <si>
    <t xml:space="preserve">Week </t>
  </si>
  <si>
    <t>Demand</t>
  </si>
  <si>
    <t>3 Week</t>
  </si>
  <si>
    <t>9 Week</t>
  </si>
  <si>
    <t>Simple
Moving Averages</t>
  </si>
  <si>
    <t>Month</t>
  </si>
  <si>
    <t>Demand Forecast</t>
  </si>
  <si>
    <t>Actual</t>
  </si>
  <si>
    <t>RSFE</t>
  </si>
  <si>
    <t>Abs. Dev.</t>
  </si>
  <si>
    <t>Sum of Abs. Dev.</t>
  </si>
  <si>
    <t>TS=RSFE/MAD</t>
  </si>
  <si>
    <t>Deviation
(Error)</t>
  </si>
  <si>
    <t>= 3-sigma Upper Control Limit</t>
  </si>
  <si>
    <t>= 3-sigma Lower Control Limit</t>
  </si>
  <si>
    <t>Year</t>
  </si>
  <si>
    <t>Number of Housing Start Permits</t>
  </si>
  <si>
    <t>Sales (in Sq. Yds.)</t>
  </si>
  <si>
    <t>F</t>
  </si>
  <si>
    <t>Qtr</t>
  </si>
  <si>
    <t>Intercept</t>
  </si>
  <si>
    <t>y</t>
  </si>
  <si>
    <t>(1)</t>
  </si>
  <si>
    <t>(2)</t>
  </si>
  <si>
    <t>(3)</t>
  </si>
  <si>
    <t>(4)</t>
  </si>
  <si>
    <t>(5)</t>
  </si>
  <si>
    <t>(6)</t>
  </si>
  <si>
    <t>Ŷ</t>
  </si>
  <si>
    <t>= Y-bar</t>
  </si>
  <si>
    <t>= b</t>
  </si>
  <si>
    <t>= a</t>
  </si>
  <si>
    <t>Trendline</t>
  </si>
  <si>
    <t>Additive Index</t>
  </si>
  <si>
    <t>Additive Demand</t>
  </si>
  <si>
    <t>Multiplicative Index</t>
  </si>
  <si>
    <t>Multiplicative Demand</t>
  </si>
  <si>
    <t>SUMMARY OUTPUT</t>
  </si>
  <si>
    <t>Regression Statistics</t>
  </si>
  <si>
    <t>Multiple R</t>
  </si>
  <si>
    <t>R Square</t>
  </si>
  <si>
    <t>Adjusted R Square</t>
  </si>
  <si>
    <t>Standard Error</t>
  </si>
  <si>
    <t>Observations</t>
  </si>
  <si>
    <t>ANOVA</t>
  </si>
  <si>
    <t>Regression</t>
  </si>
  <si>
    <t>Residual</t>
  </si>
  <si>
    <t>Total</t>
  </si>
  <si>
    <t>df</t>
  </si>
  <si>
    <t>SS</t>
  </si>
  <si>
    <t>MS</t>
  </si>
  <si>
    <t>Significance F</t>
  </si>
  <si>
    <t>Coefficients</t>
  </si>
  <si>
    <t>t Stat</t>
  </si>
  <si>
    <t>P-value</t>
  </si>
  <si>
    <t>Lower 95%</t>
  </si>
  <si>
    <t>Upper 95%</t>
  </si>
  <si>
    <t>Lower 95.0%</t>
  </si>
  <si>
    <t>Upper 95.0%</t>
  </si>
  <si>
    <t>X Variable 1</t>
  </si>
  <si>
    <r>
      <t>y</t>
    </r>
    <r>
      <rPr>
        <b/>
        <i/>
        <vertAlign val="superscript"/>
        <sz val="10"/>
        <rFont val="Arial"/>
        <family val="2"/>
      </rPr>
      <t>2</t>
    </r>
  </si>
  <si>
    <t>II</t>
  </si>
  <si>
    <t>I</t>
  </si>
  <si>
    <t>III</t>
  </si>
  <si>
    <t>IV</t>
  </si>
  <si>
    <t>Actual Amount</t>
  </si>
  <si>
    <t>From Trend Equation</t>
  </si>
  <si>
    <t>Ratio of Actual/Trend</t>
  </si>
  <si>
    <t>Seasonal Factor (Ave. of Same Qtrs in Both Years)</t>
  </si>
  <si>
    <t>(y)</t>
  </si>
  <si>
    <t>Average of the  Same Qtr of Each Year</t>
  </si>
  <si>
    <t>Seasonal Factor</t>
  </si>
  <si>
    <r>
      <t>Deseas. Demand (y</t>
    </r>
    <r>
      <rPr>
        <vertAlign val="subscript"/>
        <sz val="10"/>
        <rFont val="Arial"/>
        <family val="2"/>
      </rPr>
      <t>d</t>
    </r>
    <r>
      <rPr>
        <sz val="10"/>
        <rFont val="Arial"/>
        <family val="2"/>
      </rPr>
      <t>)</t>
    </r>
  </si>
  <si>
    <t>Col. (3) / Col.(5)</t>
  </si>
  <si>
    <t>(7)</t>
  </si>
  <si>
    <r>
      <t>(Col. 1)</t>
    </r>
    <r>
      <rPr>
        <vertAlign val="superscript"/>
        <sz val="10"/>
        <rFont val="Arial"/>
        <family val="2"/>
      </rPr>
      <t>2</t>
    </r>
  </si>
  <si>
    <t>(8)</t>
  </si>
  <si>
    <t>Col. (1) × Col. (6)</t>
  </si>
  <si>
    <t>Period</t>
  </si>
  <si>
    <t xml:space="preserve">Actual </t>
  </si>
  <si>
    <t>Forecast</t>
  </si>
  <si>
    <t>October</t>
  </si>
  <si>
    <t>November</t>
  </si>
  <si>
    <t>December</t>
  </si>
  <si>
    <t>January</t>
  </si>
  <si>
    <t>February</t>
  </si>
  <si>
    <t>March</t>
  </si>
  <si>
    <t>Solution</t>
  </si>
  <si>
    <t>Actual Demand</t>
  </si>
  <si>
    <t>Forecast Demand</t>
  </si>
  <si>
    <t>Actual Deviation</t>
  </si>
  <si>
    <t>Cumulative Deviation (RSFE)</t>
  </si>
  <si>
    <t>Absolute Deviation</t>
  </si>
  <si>
    <t>MAD =</t>
  </si>
  <si>
    <t>Tracking Signal =</t>
  </si>
  <si>
    <t>Average</t>
  </si>
  <si>
    <t>Solved Problem 1</t>
  </si>
  <si>
    <t>4 Weeks Ago</t>
  </si>
  <si>
    <t>3 Weeks Ago</t>
  </si>
  <si>
    <t>2 Weeks Ago</t>
  </si>
  <si>
    <t>Last Week</t>
  </si>
  <si>
    <t>Monday</t>
  </si>
  <si>
    <t>Tuesday</t>
  </si>
  <si>
    <t>Wednesday</t>
  </si>
  <si>
    <t>Thursday</t>
  </si>
  <si>
    <t>Friday</t>
  </si>
  <si>
    <t>Saturday</t>
  </si>
  <si>
    <t>Sunday</t>
  </si>
  <si>
    <t>Solution:</t>
  </si>
  <si>
    <t>(a) Simple 4-wk Moving Average</t>
  </si>
  <si>
    <t>Simple 4-wk</t>
  </si>
  <si>
    <t>Moving</t>
  </si>
  <si>
    <t>(b) Weighted Average</t>
  </si>
  <si>
    <t>Weighted</t>
  </si>
  <si>
    <t>Weights</t>
  </si>
  <si>
    <t xml:space="preserve">Moving </t>
  </si>
  <si>
    <t>=</t>
  </si>
  <si>
    <t>DESEASONALIZED</t>
  </si>
  <si>
    <t>SEASONALIZED</t>
  </si>
  <si>
    <t>FORECAST</t>
  </si>
  <si>
    <t>Seasonal</t>
  </si>
  <si>
    <t>Factor</t>
  </si>
  <si>
    <r>
      <t>y</t>
    </r>
    <r>
      <rPr>
        <vertAlign val="subscript"/>
        <sz val="10"/>
        <rFont val="Arial"/>
        <family val="2"/>
      </rPr>
      <t>d</t>
    </r>
  </si>
  <si>
    <r>
      <t>y</t>
    </r>
    <r>
      <rPr>
        <vertAlign val="subscript"/>
        <sz val="10"/>
        <rFont val="Arial"/>
        <family val="2"/>
      </rPr>
      <t>s</t>
    </r>
  </si>
  <si>
    <t>Quarter</t>
  </si>
  <si>
    <t>Sales</t>
  </si>
  <si>
    <t>Deseasonalized Demand</t>
  </si>
  <si>
    <t>Solved Problem 4</t>
  </si>
  <si>
    <r>
      <t>FIT</t>
    </r>
    <r>
      <rPr>
        <i/>
        <vertAlign val="subscript"/>
        <sz val="10"/>
        <rFont val="Arial"/>
        <family val="2"/>
      </rPr>
      <t>t</t>
    </r>
    <r>
      <rPr>
        <sz val="10"/>
        <rFont val="Arial"/>
        <family val="2"/>
      </rPr>
      <t xml:space="preserve"> = 170 + 55</t>
    </r>
    <r>
      <rPr>
        <i/>
        <sz val="10"/>
        <rFont val="Arial"/>
        <family val="2"/>
      </rPr>
      <t>t</t>
    </r>
  </si>
  <si>
    <t>Period (t)</t>
  </si>
  <si>
    <r>
      <t>t</t>
    </r>
    <r>
      <rPr>
        <vertAlign val="superscript"/>
        <sz val="10"/>
        <rFont val="Arial"/>
        <family val="2"/>
      </rPr>
      <t>2</t>
    </r>
  </si>
  <si>
    <r>
      <t>t × y</t>
    </r>
    <r>
      <rPr>
        <vertAlign val="subscript"/>
        <sz val="10"/>
        <rFont val="Arial"/>
        <family val="2"/>
      </rPr>
      <t>d</t>
    </r>
  </si>
  <si>
    <t>t</t>
  </si>
  <si>
    <t>= t-bar</t>
  </si>
  <si>
    <t>t*y</t>
  </si>
  <si>
    <r>
      <t>t</t>
    </r>
    <r>
      <rPr>
        <b/>
        <i/>
        <vertAlign val="superscript"/>
        <sz val="10"/>
        <rFont val="Arial"/>
        <family val="2"/>
      </rPr>
      <t>2</t>
    </r>
  </si>
  <si>
    <t>= Mean Absolute Deviation (MAD)</t>
  </si>
  <si>
    <t>= Tracking Signal (TS)</t>
  </si>
  <si>
    <t>MAD</t>
  </si>
  <si>
    <t>Average Demand:</t>
  </si>
  <si>
    <t>= Mean Absolute Percent Error (MAPE)</t>
  </si>
  <si>
    <t>Solved Problem 3</t>
  </si>
  <si>
    <r>
      <rPr>
        <b/>
        <i/>
        <sz val="10"/>
        <rFont val="Arial"/>
        <family val="2"/>
      </rPr>
      <t>Y</t>
    </r>
    <r>
      <rPr>
        <b/>
        <i/>
        <vertAlign val="subscript"/>
        <sz val="10"/>
        <rFont val="Arial"/>
        <family val="2"/>
      </rPr>
      <t>d</t>
    </r>
  </si>
  <si>
    <r>
      <t>ty</t>
    </r>
    <r>
      <rPr>
        <b/>
        <i/>
        <vertAlign val="subscript"/>
        <sz val="10"/>
        <rFont val="Arial"/>
        <family val="2"/>
      </rPr>
      <t>d</t>
    </r>
  </si>
  <si>
    <r>
      <t>(y</t>
    </r>
    <r>
      <rPr>
        <b/>
        <i/>
        <vertAlign val="subscript"/>
        <sz val="10"/>
        <rFont val="Arial"/>
        <family val="2"/>
      </rPr>
      <t>d</t>
    </r>
    <r>
      <rPr>
        <b/>
        <i/>
        <sz val="10"/>
        <rFont val="Arial"/>
        <family val="2"/>
      </rPr>
      <t>)</t>
    </r>
    <r>
      <rPr>
        <b/>
        <i/>
        <vertAlign val="superscript"/>
        <sz val="10"/>
        <rFont val="Arial"/>
        <family val="2"/>
      </rPr>
      <t>2</t>
    </r>
  </si>
  <si>
    <r>
      <t>Ŷ</t>
    </r>
    <r>
      <rPr>
        <b/>
        <i/>
        <vertAlign val="subscript"/>
        <sz val="10"/>
        <rFont val="Lucida Console"/>
        <family val="3"/>
      </rPr>
      <t>d</t>
    </r>
  </si>
  <si>
    <t>Totals</t>
  </si>
  <si>
    <t>(9)</t>
  </si>
  <si>
    <t>(t)</t>
  </si>
  <si>
    <t>MAPE =</t>
  </si>
  <si>
    <t>Mean demand</t>
  </si>
  <si>
    <t>The regression analysis below uses the regression procedure that is accessed from the "Data Analysis" package that is an addin to Excel.</t>
  </si>
  <si>
    <t>Exhibit 18.4 - Simple Moving Average</t>
  </si>
  <si>
    <t>Examples 18.6 &amp; 18.7  - Least Squares Regression Analysis</t>
  </si>
  <si>
    <t>Exhibit 18.8 - Excel Regression Tool</t>
  </si>
  <si>
    <t>Exhibit 18.9 - Additive and Multiplicative Seasonal Variation</t>
  </si>
  <si>
    <t>Exhibit 18.10 - Computing a Seasonal Factor from Actual Data and Trend Line</t>
  </si>
  <si>
    <t>Exhibit 18.11 - Deseasonalized Demand</t>
  </si>
  <si>
    <t>Exhibit 18.12 - Straight Line Graph of Deseasonalized Equation</t>
  </si>
  <si>
    <t>Exhibit 18.15 Calculating Measurements of Forecast Error</t>
  </si>
  <si>
    <t>Exhibit 18.16 - Causal Relationship: Sales to Housing Starts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</si>
</sst>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0.0"/>
    <numFmt numFmtId="165" formatCode="#,##0.0"/>
    <numFmt numFmtId="166" formatCode="#,##0.000"/>
    <numFmt numFmtId="167" formatCode="#,##0__"/>
    <numFmt numFmtId="168" formatCode="#,##0_)"/>
    <numFmt numFmtId="169" formatCode="#,##0.0_)"/>
    <numFmt numFmtId="170" formatCode="_(* #,##0.0_);_(* \(#,##0.0\);_(* &quot;-&quot;??_);_(@_)"/>
    <numFmt numFmtId="171" formatCode="0.000"/>
    <numFmt numFmtId="172" formatCode="0.000000"/>
    <numFmt numFmtId="173" formatCode="_(* #,##0_);_(* \(#,##0\);_(* &quot;-&quot;??_);_(@_)"/>
  </numFmts>
  <fonts count="24" x14ac:knownFonts="1">
    <font>
      <sz val="10"/>
      <name val="Arial"/>
    </font>
    <font>
      <sz val="10"/>
      <name val="Arial"/>
      <family val="2"/>
    </font>
    <font>
      <b/>
      <sz val="10"/>
      <name val="Arial"/>
      <family val="2"/>
    </font>
    <font>
      <sz val="10"/>
      <name val="Arial"/>
      <family val="2"/>
    </font>
    <font>
      <sz val="10"/>
      <color indexed="9"/>
      <name val="Arial"/>
      <family val="2"/>
    </font>
    <font>
      <i/>
      <sz val="10"/>
      <name val="Arial"/>
      <family val="2"/>
    </font>
    <font>
      <b/>
      <i/>
      <sz val="10"/>
      <name val="Arial"/>
      <family val="2"/>
    </font>
    <font>
      <b/>
      <i/>
      <sz val="10"/>
      <name val="Lucida Console"/>
      <family val="3"/>
    </font>
    <font>
      <sz val="10"/>
      <name val="Arial"/>
      <family val="2"/>
    </font>
    <font>
      <b/>
      <sz val="10"/>
      <name val="Arial"/>
      <family val="2"/>
    </font>
    <font>
      <sz val="10"/>
      <name val="Arial"/>
      <family val="2"/>
    </font>
    <font>
      <b/>
      <i/>
      <vertAlign val="superscript"/>
      <sz val="10"/>
      <name val="Arial"/>
      <family val="2"/>
    </font>
    <font>
      <sz val="8"/>
      <name val="Arial"/>
      <family val="2"/>
    </font>
    <font>
      <vertAlign val="superscript"/>
      <sz val="10"/>
      <name val="Arial"/>
      <family val="2"/>
    </font>
    <font>
      <vertAlign val="subscript"/>
      <sz val="10"/>
      <name val="Arial"/>
      <family val="2"/>
    </font>
    <font>
      <i/>
      <vertAlign val="subscript"/>
      <sz val="10"/>
      <name val="Arial"/>
      <family val="2"/>
    </font>
    <font>
      <sz val="10"/>
      <color indexed="10"/>
      <name val="Arial"/>
      <family val="2"/>
    </font>
    <font>
      <sz val="10"/>
      <color indexed="57"/>
      <name val="Arial"/>
      <family val="2"/>
    </font>
    <font>
      <sz val="10"/>
      <color indexed="12"/>
      <name val="Arial"/>
      <family val="2"/>
    </font>
    <font>
      <b/>
      <u/>
      <sz val="10"/>
      <name val="Arial"/>
      <family val="2"/>
    </font>
    <font>
      <sz val="10"/>
      <name val="Arial"/>
      <family val="2"/>
    </font>
    <font>
      <sz val="10"/>
      <color theme="0"/>
      <name val="Arial"/>
      <family val="2"/>
    </font>
    <font>
      <b/>
      <i/>
      <vertAlign val="subscript"/>
      <sz val="10"/>
      <name val="Arial"/>
      <family val="2"/>
    </font>
    <font>
      <b/>
      <i/>
      <vertAlign val="subscript"/>
      <sz val="10"/>
      <name val="Lucida Console"/>
      <family val="3"/>
    </font>
  </fonts>
  <fills count="5">
    <fill>
      <patternFill patternType="none"/>
    </fill>
    <fill>
      <patternFill patternType="gray125"/>
    </fill>
    <fill>
      <patternFill patternType="solid">
        <fgColor indexed="44"/>
        <bgColor indexed="64"/>
      </patternFill>
    </fill>
    <fill>
      <patternFill patternType="solid">
        <fgColor indexed="35"/>
        <bgColor indexed="64"/>
      </patternFill>
    </fill>
    <fill>
      <patternFill patternType="solid">
        <fgColor theme="3" tint="0.79998168889431442"/>
        <bgColor indexed="64"/>
      </patternFill>
    </fill>
  </fills>
  <borders count="5">
    <border>
      <left/>
      <right/>
      <top/>
      <bottom/>
      <diagonal/>
    </border>
    <border>
      <left/>
      <right/>
      <top/>
      <bottom style="medium">
        <color indexed="64"/>
      </bottom>
      <diagonal/>
    </border>
    <border>
      <left/>
      <right/>
      <top style="medium">
        <color indexed="64"/>
      </top>
      <bottom style="thin">
        <color indexed="64"/>
      </bottom>
      <diagonal/>
    </border>
    <border>
      <left/>
      <right/>
      <top/>
      <bottom style="thin">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20" fillId="0" borderId="0" applyFont="0" applyFill="0" applyBorder="0" applyAlignment="0" applyProtection="0"/>
  </cellStyleXfs>
  <cellXfs count="153">
    <xf numFmtId="0" fontId="0" fillId="0" borderId="0" xfId="0"/>
    <xf numFmtId="0" fontId="0" fillId="0" borderId="1" xfId="0" applyBorder="1" applyAlignment="1">
      <alignment horizontal="center" vertical="center"/>
    </xf>
    <xf numFmtId="0" fontId="0" fillId="0" borderId="0" xfId="0" applyAlignment="1">
      <alignment horizontal="center"/>
    </xf>
    <xf numFmtId="3" fontId="0" fillId="0" borderId="0" xfId="0" applyNumberFormat="1" applyAlignment="1">
      <alignment horizontal="center"/>
    </xf>
    <xf numFmtId="0" fontId="2" fillId="0" borderId="1" xfId="0" applyFont="1" applyBorder="1" applyAlignment="1">
      <alignment horizontal="center" vertical="center" wrapText="1"/>
    </xf>
    <xf numFmtId="0" fontId="0" fillId="0" borderId="1" xfId="0" applyBorder="1" applyAlignment="1">
      <alignment horizontal="center" vertical="top"/>
    </xf>
    <xf numFmtId="3" fontId="0" fillId="0" borderId="1" xfId="0" applyNumberFormat="1" applyBorder="1" applyAlignment="1">
      <alignment horizontal="center" vertical="top"/>
    </xf>
    <xf numFmtId="0" fontId="0" fillId="0" borderId="1" xfId="0" applyBorder="1" applyAlignment="1">
      <alignment horizontal="center" vertical="center" wrapText="1"/>
    </xf>
    <xf numFmtId="0" fontId="2" fillId="0" borderId="0" xfId="0" applyFont="1" applyAlignment="1">
      <alignment horizontal="center"/>
    </xf>
    <xf numFmtId="0" fontId="0" fillId="0" borderId="0" xfId="0" applyAlignment="1">
      <alignment vertical="top"/>
    </xf>
    <xf numFmtId="0" fontId="3" fillId="0" borderId="0" xfId="0" applyFont="1"/>
    <xf numFmtId="0" fontId="3" fillId="0" borderId="0" xfId="0" applyFont="1" applyAlignment="1">
      <alignment horizontal="center"/>
    </xf>
    <xf numFmtId="0" fontId="2" fillId="0" borderId="0" xfId="0" quotePrefix="1" applyFont="1"/>
    <xf numFmtId="0" fontId="4" fillId="0" borderId="0" xfId="0" applyFont="1" applyAlignment="1">
      <alignment horizontal="center"/>
    </xf>
    <xf numFmtId="0" fontId="0" fillId="0" borderId="0" xfId="0" applyFill="1" applyBorder="1" applyAlignment="1"/>
    <xf numFmtId="0" fontId="0" fillId="0" borderId="1" xfId="0" applyFill="1" applyBorder="1" applyAlignment="1"/>
    <xf numFmtId="0" fontId="5" fillId="0" borderId="2" xfId="0" applyFont="1" applyFill="1" applyBorder="1" applyAlignment="1">
      <alignment horizontal="center"/>
    </xf>
    <xf numFmtId="0" fontId="5" fillId="0" borderId="2" xfId="0" applyFont="1" applyFill="1" applyBorder="1" applyAlignment="1">
      <alignment horizontal="centerContinuous"/>
    </xf>
    <xf numFmtId="164" fontId="3" fillId="0" borderId="0" xfId="0" applyNumberFormat="1" applyFont="1" applyAlignment="1">
      <alignment horizontal="center"/>
    </xf>
    <xf numFmtId="0" fontId="6" fillId="0" borderId="0" xfId="0" applyFont="1"/>
    <xf numFmtId="3" fontId="3" fillId="0" borderId="0" xfId="0" applyNumberFormat="1" applyFont="1" applyAlignment="1">
      <alignment horizontal="center"/>
    </xf>
    <xf numFmtId="2" fontId="3" fillId="0" borderId="0" xfId="0" applyNumberFormat="1" applyFont="1" applyAlignment="1">
      <alignment horizontal="center"/>
    </xf>
    <xf numFmtId="0" fontId="3" fillId="0" borderId="1" xfId="0" applyFont="1" applyBorder="1" applyAlignment="1">
      <alignment horizontal="center" vertical="center"/>
    </xf>
    <xf numFmtId="3"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165" fontId="2" fillId="0" borderId="0" xfId="0" applyNumberFormat="1" applyFont="1" applyAlignment="1">
      <alignment horizontal="center"/>
    </xf>
    <xf numFmtId="166" fontId="2" fillId="0" borderId="0" xfId="0" applyNumberFormat="1" applyFont="1" applyAlignment="1">
      <alignment horizontal="center"/>
    </xf>
    <xf numFmtId="166" fontId="3" fillId="0" borderId="0" xfId="0" applyNumberFormat="1" applyFont="1"/>
    <xf numFmtId="0" fontId="3" fillId="0" borderId="1" xfId="0" applyFont="1" applyBorder="1" applyAlignment="1">
      <alignment horizontal="center"/>
    </xf>
    <xf numFmtId="1" fontId="3" fillId="0" borderId="0" xfId="0" applyNumberFormat="1" applyFont="1" applyAlignment="1">
      <alignment horizontal="center"/>
    </xf>
    <xf numFmtId="0" fontId="3" fillId="0" borderId="1" xfId="0" applyFont="1" applyBorder="1" applyAlignment="1">
      <alignment horizontal="right"/>
    </xf>
    <xf numFmtId="0" fontId="2" fillId="0" borderId="0" xfId="0" applyFont="1" applyAlignment="1">
      <alignment horizontal="left"/>
    </xf>
    <xf numFmtId="0" fontId="3" fillId="0" borderId="0" xfId="0" quotePrefix="1" applyFont="1" applyAlignment="1">
      <alignment horizontal="center"/>
    </xf>
    <xf numFmtId="0" fontId="6" fillId="0" borderId="1" xfId="0" applyFont="1" applyBorder="1" applyAlignment="1">
      <alignment horizontal="center" vertical="center"/>
    </xf>
    <xf numFmtId="0" fontId="7" fillId="0" borderId="1" xfId="0" applyFont="1" applyBorder="1" applyAlignment="1">
      <alignment horizontal="center"/>
    </xf>
    <xf numFmtId="168" fontId="3" fillId="0" borderId="0" xfId="0" applyNumberFormat="1" applyFont="1" applyAlignment="1">
      <alignment horizontal="right"/>
    </xf>
    <xf numFmtId="169" fontId="3" fillId="0" borderId="0" xfId="0" applyNumberFormat="1" applyFont="1" applyAlignment="1">
      <alignment horizontal="right"/>
    </xf>
    <xf numFmtId="168" fontId="3" fillId="0" borderId="1" xfId="0" applyNumberFormat="1" applyFont="1" applyBorder="1" applyAlignment="1">
      <alignment horizontal="right"/>
    </xf>
    <xf numFmtId="167" fontId="3" fillId="0" borderId="0" xfId="0" applyNumberFormat="1" applyFont="1" applyAlignment="1">
      <alignment horizontal="center"/>
    </xf>
    <xf numFmtId="0" fontId="2" fillId="0" borderId="0" xfId="0" quotePrefix="1" applyFont="1" applyAlignment="1">
      <alignment horizontal="left"/>
    </xf>
    <xf numFmtId="169" fontId="3" fillId="0" borderId="1" xfId="0" applyNumberFormat="1" applyFont="1" applyBorder="1" applyAlignment="1">
      <alignment horizontal="right"/>
    </xf>
    <xf numFmtId="168" fontId="3" fillId="0" borderId="0" xfId="0" applyNumberFormat="1" applyFont="1" applyBorder="1" applyAlignment="1">
      <alignment horizontal="right"/>
    </xf>
    <xf numFmtId="169" fontId="3" fillId="0" borderId="0" xfId="0" applyNumberFormat="1" applyFont="1" applyBorder="1" applyAlignment="1">
      <alignment horizontal="right"/>
    </xf>
    <xf numFmtId="2" fontId="3" fillId="0" borderId="0" xfId="0" applyNumberFormat="1" applyFont="1" applyAlignment="1">
      <alignment horizontal="right"/>
    </xf>
    <xf numFmtId="0" fontId="3" fillId="0" borderId="0" xfId="0" applyFont="1" applyAlignment="1">
      <alignment horizontal="center" wrapText="1"/>
    </xf>
    <xf numFmtId="167" fontId="3" fillId="0" borderId="0" xfId="0" applyNumberFormat="1" applyFont="1" applyAlignment="1">
      <alignment horizontal="right"/>
    </xf>
    <xf numFmtId="164" fontId="3" fillId="2" borderId="0" xfId="0" applyNumberFormat="1" applyFont="1" applyFill="1" applyAlignment="1">
      <alignment horizontal="center" vertical="center"/>
    </xf>
    <xf numFmtId="0" fontId="3" fillId="0" borderId="1" xfId="0" applyFont="1" applyBorder="1" applyAlignment="1">
      <alignment horizontal="center" wrapText="1"/>
    </xf>
    <xf numFmtId="0" fontId="1" fillId="0" borderId="0" xfId="0" applyFont="1"/>
    <xf numFmtId="0" fontId="8" fillId="0" borderId="0" xfId="0" applyFont="1"/>
    <xf numFmtId="0" fontId="9" fillId="0" borderId="0" xfId="0" applyFont="1" applyAlignment="1">
      <alignment horizontal="center" wrapText="1"/>
    </xf>
    <xf numFmtId="0" fontId="10" fillId="0" borderId="0" xfId="0" applyFont="1"/>
    <xf numFmtId="0" fontId="9" fillId="0" borderId="0" xfId="0" applyFont="1" applyBorder="1" applyAlignment="1">
      <alignment horizontal="center" vertical="center"/>
    </xf>
    <xf numFmtId="0" fontId="10" fillId="0" borderId="0" xfId="0" applyFont="1" applyBorder="1" applyAlignment="1">
      <alignment horizontal="center"/>
    </xf>
    <xf numFmtId="3" fontId="10" fillId="0" borderId="0" xfId="0" applyNumberFormat="1" applyFont="1" applyBorder="1" applyAlignment="1">
      <alignment horizontal="center"/>
    </xf>
    <xf numFmtId="0" fontId="10" fillId="0" borderId="0" xfId="0" applyFont="1" applyBorder="1" applyAlignment="1">
      <alignment horizontal="center" vertical="center"/>
    </xf>
    <xf numFmtId="3" fontId="10" fillId="0" borderId="0" xfId="0" applyNumberFormat="1" applyFont="1" applyBorder="1" applyAlignment="1">
      <alignment horizontal="center" vertical="center"/>
    </xf>
    <xf numFmtId="0" fontId="9" fillId="0" borderId="1" xfId="0" applyFont="1" applyBorder="1" applyAlignment="1">
      <alignment horizontal="center" vertical="center"/>
    </xf>
    <xf numFmtId="0" fontId="10" fillId="0" borderId="1" xfId="0" applyFont="1" applyBorder="1" applyAlignment="1">
      <alignment horizontal="center" vertical="center"/>
    </xf>
    <xf numFmtId="3" fontId="10" fillId="0" borderId="1" xfId="0" applyNumberFormat="1" applyFont="1" applyBorder="1" applyAlignment="1">
      <alignment horizontal="center" vertical="center"/>
    </xf>
    <xf numFmtId="0" fontId="6" fillId="0" borderId="0" xfId="0" applyFont="1" applyAlignment="1">
      <alignment horizontal="left"/>
    </xf>
    <xf numFmtId="172" fontId="0" fillId="0" borderId="0" xfId="0" applyNumberFormat="1" applyFill="1" applyBorder="1" applyAlignment="1"/>
    <xf numFmtId="0" fontId="0" fillId="0" borderId="0" xfId="0" applyAlignment="1">
      <alignment horizontal="center" wrapText="1"/>
    </xf>
    <xf numFmtId="0" fontId="0" fillId="0" borderId="0" xfId="0" applyBorder="1"/>
    <xf numFmtId="0" fontId="0" fillId="0" borderId="0" xfId="0" applyBorder="1" applyAlignment="1">
      <alignment horizontal="center"/>
    </xf>
    <xf numFmtId="0" fontId="0" fillId="0" borderId="0" xfId="0" applyFill="1"/>
    <xf numFmtId="2" fontId="0" fillId="0" borderId="0" xfId="0" applyNumberFormat="1" applyAlignment="1">
      <alignment horizontal="center"/>
    </xf>
    <xf numFmtId="0" fontId="0" fillId="0" borderId="1" xfId="0" applyBorder="1" applyAlignment="1">
      <alignment horizontal="center" wrapText="1"/>
    </xf>
    <xf numFmtId="0" fontId="0" fillId="0" borderId="1" xfId="0" applyBorder="1"/>
    <xf numFmtId="0" fontId="0" fillId="0" borderId="1" xfId="0" applyBorder="1" applyAlignment="1">
      <alignment horizontal="center"/>
    </xf>
    <xf numFmtId="0" fontId="0" fillId="0" borderId="3" xfId="0" applyBorder="1"/>
    <xf numFmtId="0" fontId="0" fillId="0" borderId="0" xfId="0" applyBorder="1" applyAlignment="1">
      <alignment horizontal="right"/>
    </xf>
    <xf numFmtId="2" fontId="16" fillId="0" borderId="0" xfId="0" applyNumberFormat="1" applyFont="1" applyAlignment="1">
      <alignment horizontal="center"/>
    </xf>
    <xf numFmtId="2" fontId="17" fillId="0" borderId="0" xfId="0" applyNumberFormat="1" applyFont="1" applyAlignment="1">
      <alignment horizontal="center"/>
    </xf>
    <xf numFmtId="2" fontId="18" fillId="0" borderId="0" xfId="0" applyNumberFormat="1" applyFont="1" applyAlignment="1">
      <alignment horizontal="center"/>
    </xf>
    <xf numFmtId="2" fontId="18" fillId="0" borderId="1" xfId="0" applyNumberFormat="1" applyFont="1" applyBorder="1" applyAlignment="1">
      <alignment horizontal="center"/>
    </xf>
    <xf numFmtId="0" fontId="0" fillId="0" borderId="0" xfId="0" quotePrefix="1" applyBorder="1" applyAlignment="1">
      <alignment horizontal="center"/>
    </xf>
    <xf numFmtId="0" fontId="0" fillId="0" borderId="0" xfId="0" quotePrefix="1" applyFill="1" applyBorder="1" applyAlignment="1">
      <alignment horizontal="center"/>
    </xf>
    <xf numFmtId="0" fontId="0" fillId="0" borderId="1" xfId="0" applyFill="1" applyBorder="1"/>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170" fontId="1" fillId="0" borderId="1" xfId="1" applyNumberFormat="1" applyFont="1" applyBorder="1" applyAlignment="1">
      <alignment horizontal="center"/>
    </xf>
    <xf numFmtId="170" fontId="0" fillId="0" borderId="0" xfId="1" applyNumberFormat="1" applyFont="1" applyAlignment="1">
      <alignment horizontal="center"/>
    </xf>
    <xf numFmtId="173" fontId="0" fillId="0" borderId="1" xfId="1" applyNumberFormat="1" applyFont="1" applyBorder="1" applyAlignment="1">
      <alignment horizontal="center"/>
    </xf>
    <xf numFmtId="173" fontId="0" fillId="0" borderId="0" xfId="1" applyNumberFormat="1" applyFont="1" applyBorder="1" applyAlignment="1">
      <alignment horizontal="center"/>
    </xf>
    <xf numFmtId="170" fontId="0" fillId="0" borderId="0" xfId="0" applyNumberFormat="1"/>
    <xf numFmtId="0" fontId="2" fillId="0" borderId="0" xfId="0" applyFont="1"/>
    <xf numFmtId="171" fontId="0" fillId="3" borderId="0" xfId="0" applyNumberFormat="1" applyFill="1" applyBorder="1" applyAlignment="1"/>
    <xf numFmtId="171" fontId="0" fillId="0" borderId="0" xfId="0" applyNumberFormat="1" applyFill="1" applyBorder="1" applyAlignment="1"/>
    <xf numFmtId="171" fontId="0" fillId="3" borderId="1" xfId="0" applyNumberFormat="1" applyFill="1" applyBorder="1" applyAlignment="1"/>
    <xf numFmtId="171" fontId="0" fillId="0" borderId="1" xfId="0" applyNumberFormat="1" applyFill="1" applyBorder="1" applyAlignment="1"/>
    <xf numFmtId="0" fontId="0" fillId="0" borderId="1" xfId="0" applyBorder="1" applyAlignment="1">
      <alignment horizontal="left" vertical="center"/>
    </xf>
    <xf numFmtId="0" fontId="0" fillId="2" borderId="0" xfId="0" applyFill="1"/>
    <xf numFmtId="3" fontId="0" fillId="2" borderId="0" xfId="0" applyNumberFormat="1" applyFill="1" applyAlignment="1">
      <alignment horizontal="center"/>
    </xf>
    <xf numFmtId="0" fontId="3" fillId="2" borderId="1" xfId="0" applyFont="1" applyFill="1" applyBorder="1"/>
    <xf numFmtId="0" fontId="19" fillId="0" borderId="0" xfId="0" applyFont="1"/>
    <xf numFmtId="0" fontId="3" fillId="0" borderId="1" xfId="0" applyFont="1" applyBorder="1" applyAlignment="1">
      <alignment horizontal="center" vertical="center" wrapText="1"/>
    </xf>
    <xf numFmtId="0" fontId="0" fillId="0" borderId="0" xfId="0" applyAlignment="1">
      <alignment horizontal="center" vertical="center" wrapText="1"/>
    </xf>
    <xf numFmtId="3" fontId="0" fillId="0" borderId="1" xfId="0" applyNumberFormat="1" applyBorder="1" applyAlignment="1">
      <alignment horizontal="center"/>
    </xf>
    <xf numFmtId="0" fontId="0" fillId="0" borderId="0" xfId="0" applyAlignment="1">
      <alignment horizontal="right"/>
    </xf>
    <xf numFmtId="49" fontId="0" fillId="0" borderId="0" xfId="0" applyNumberFormat="1" applyAlignment="1">
      <alignment horizontal="center"/>
    </xf>
    <xf numFmtId="49" fontId="0" fillId="0" borderId="1" xfId="0" applyNumberFormat="1" applyBorder="1" applyAlignment="1">
      <alignment horizontal="center"/>
    </xf>
    <xf numFmtId="0" fontId="0" fillId="0" borderId="1" xfId="0" applyBorder="1" applyAlignment="1">
      <alignment horizontal="right"/>
    </xf>
    <xf numFmtId="3" fontId="0" fillId="0" borderId="0" xfId="0" applyNumberFormat="1"/>
    <xf numFmtId="3" fontId="0" fillId="0" borderId="1" xfId="0" applyNumberFormat="1" applyBorder="1"/>
    <xf numFmtId="2" fontId="0" fillId="0" borderId="1" xfId="0" applyNumberFormat="1" applyBorder="1" applyAlignment="1">
      <alignment horizontal="center"/>
    </xf>
    <xf numFmtId="0" fontId="6" fillId="0" borderId="0" xfId="0" applyFont="1" applyBorder="1" applyAlignment="1">
      <alignment horizontal="right" vertical="center"/>
    </xf>
    <xf numFmtId="0" fontId="3" fillId="0" borderId="1" xfId="0" applyFont="1" applyBorder="1"/>
    <xf numFmtId="0" fontId="3" fillId="2" borderId="0" xfId="0" applyFont="1" applyFill="1"/>
    <xf numFmtId="164" fontId="3" fillId="0" borderId="0" xfId="0" applyNumberFormat="1" applyFont="1" applyAlignment="1">
      <alignment horizontal="right"/>
    </xf>
    <xf numFmtId="2" fontId="3" fillId="0" borderId="0" xfId="0" applyNumberFormat="1" applyFont="1"/>
    <xf numFmtId="164" fontId="3" fillId="0" borderId="1" xfId="0" applyNumberFormat="1" applyFont="1" applyBorder="1" applyAlignment="1">
      <alignment horizontal="right"/>
    </xf>
    <xf numFmtId="2" fontId="3" fillId="0" borderId="1" xfId="0" applyNumberFormat="1" applyFont="1" applyBorder="1"/>
    <xf numFmtId="0" fontId="2" fillId="0" borderId="0" xfId="0" applyFont="1" applyAlignment="1">
      <alignment horizontal="right"/>
    </xf>
    <xf numFmtId="0" fontId="0" fillId="0" borderId="0" xfId="0" applyBorder="1" applyAlignment="1">
      <alignment horizontal="center" vertical="top"/>
    </xf>
    <xf numFmtId="0" fontId="0" fillId="0" borderId="1" xfId="0" applyBorder="1" applyAlignment="1">
      <alignment horizontal="center"/>
    </xf>
    <xf numFmtId="0" fontId="21" fillId="0" borderId="0" xfId="0" applyFont="1"/>
    <xf numFmtId="0" fontId="1" fillId="0" borderId="1" xfId="0" applyFont="1" applyBorder="1"/>
    <xf numFmtId="0" fontId="1" fillId="0" borderId="0" xfId="0" applyFont="1" applyAlignment="1">
      <alignment horizontal="right"/>
    </xf>
    <xf numFmtId="164" fontId="2" fillId="0" borderId="0" xfId="0" applyNumberFormat="1" applyFont="1" applyAlignment="1">
      <alignment horizontal="center"/>
    </xf>
    <xf numFmtId="10" fontId="2" fillId="0" borderId="0" xfId="2" applyNumberFormat="1" applyFont="1" applyAlignment="1">
      <alignment horizontal="center"/>
    </xf>
    <xf numFmtId="2" fontId="1" fillId="0" borderId="0" xfId="0" applyNumberFormat="1" applyFont="1" applyBorder="1" applyAlignment="1">
      <alignment horizontal="center"/>
    </xf>
    <xf numFmtId="169" fontId="3" fillId="0" borderId="0" xfId="0" applyNumberFormat="1" applyFont="1" applyFill="1" applyAlignment="1">
      <alignment horizontal="right"/>
    </xf>
    <xf numFmtId="169" fontId="3" fillId="0" borderId="1" xfId="0" applyNumberFormat="1" applyFont="1" applyFill="1" applyBorder="1" applyAlignment="1">
      <alignment horizontal="right"/>
    </xf>
    <xf numFmtId="0" fontId="0" fillId="4" borderId="0" xfId="0" applyFill="1"/>
    <xf numFmtId="173" fontId="0" fillId="4" borderId="0" xfId="1" applyNumberFormat="1" applyFont="1" applyFill="1" applyBorder="1" applyAlignment="1">
      <alignment horizontal="center"/>
    </xf>
    <xf numFmtId="0" fontId="0" fillId="4" borderId="1" xfId="0" applyFill="1" applyBorder="1"/>
    <xf numFmtId="173" fontId="0" fillId="4" borderId="1" xfId="1" applyNumberFormat="1" applyFont="1" applyFill="1" applyBorder="1" applyAlignment="1">
      <alignment horizontal="center"/>
    </xf>
    <xf numFmtId="0" fontId="3" fillId="0" borderId="0" xfId="0" applyFont="1" applyBorder="1" applyAlignment="1">
      <alignment horizontal="right" wrapText="1"/>
    </xf>
    <xf numFmtId="0" fontId="6" fillId="0" borderId="1" xfId="0" applyFont="1" applyBorder="1" applyAlignment="1">
      <alignment horizontal="right" vertical="center"/>
    </xf>
    <xf numFmtId="0" fontId="7" fillId="0" borderId="1" xfId="0" applyFont="1" applyBorder="1" applyAlignment="1">
      <alignment horizontal="right" vertical="center"/>
    </xf>
    <xf numFmtId="0" fontId="22" fillId="0" borderId="1" xfId="0" applyFont="1" applyBorder="1" applyAlignment="1">
      <alignment horizontal="right" vertical="center"/>
    </xf>
    <xf numFmtId="164" fontId="3" fillId="0" borderId="0" xfId="0" applyNumberFormat="1" applyFont="1"/>
    <xf numFmtId="0" fontId="0" fillId="0" borderId="0" xfId="0" quotePrefix="1" applyBorder="1" applyAlignment="1">
      <alignment horizontal="center" vertical="center"/>
    </xf>
    <xf numFmtId="0" fontId="1" fillId="0" borderId="0" xfId="0" quotePrefix="1" applyFont="1" applyBorder="1" applyAlignment="1">
      <alignment horizontal="center" vertical="center"/>
    </xf>
    <xf numFmtId="0" fontId="1" fillId="0" borderId="0" xfId="0" quotePrefix="1" applyFont="1" applyFill="1" applyBorder="1" applyAlignment="1">
      <alignment horizontal="center" vertical="center"/>
    </xf>
    <xf numFmtId="0" fontId="1" fillId="0" borderId="0" xfId="0" quotePrefix="1" applyFont="1" applyAlignment="1">
      <alignment horizontal="center" vertical="center"/>
    </xf>
    <xf numFmtId="0" fontId="1" fillId="0" borderId="1" xfId="0" applyFont="1" applyBorder="1" applyAlignment="1">
      <alignment horizontal="center"/>
    </xf>
    <xf numFmtId="2" fontId="3" fillId="0" borderId="0" xfId="0" applyNumberFormat="1" applyFont="1" applyFill="1"/>
    <xf numFmtId="171" fontId="3" fillId="0" borderId="0" xfId="0" applyNumberFormat="1" applyFont="1" applyFill="1"/>
    <xf numFmtId="171" fontId="3" fillId="0" borderId="1" xfId="0" applyNumberFormat="1" applyFont="1" applyFill="1" applyBorder="1"/>
    <xf numFmtId="3" fontId="1" fillId="0" borderId="0" xfId="0" applyNumberFormat="1" applyFont="1" applyAlignment="1">
      <alignment horizontal="center"/>
    </xf>
    <xf numFmtId="9" fontId="0" fillId="0" borderId="0" xfId="2" applyFont="1"/>
    <xf numFmtId="0" fontId="0" fillId="0" borderId="4" xfId="0" applyBorder="1"/>
    <xf numFmtId="3" fontId="10" fillId="4" borderId="0" xfId="0" applyNumberFormat="1" applyFont="1" applyFill="1" applyBorder="1" applyAlignment="1">
      <alignment horizontal="center"/>
    </xf>
    <xf numFmtId="3" fontId="10" fillId="4" borderId="0" xfId="0" applyNumberFormat="1" applyFont="1" applyFill="1" applyBorder="1" applyAlignment="1">
      <alignment horizontal="center" vertical="center"/>
    </xf>
    <xf numFmtId="3" fontId="10" fillId="4" borderId="1" xfId="0" applyNumberFormat="1" applyFont="1" applyFill="1" applyBorder="1" applyAlignment="1">
      <alignment horizontal="center" vertical="center"/>
    </xf>
    <xf numFmtId="168" fontId="3" fillId="4" borderId="0" xfId="0" applyNumberFormat="1" applyFont="1" applyFill="1" applyAlignment="1">
      <alignment horizontal="right"/>
    </xf>
    <xf numFmtId="168" fontId="3" fillId="4" borderId="1" xfId="0" applyNumberFormat="1" applyFont="1" applyFill="1" applyBorder="1" applyAlignment="1">
      <alignment horizontal="right"/>
    </xf>
    <xf numFmtId="0" fontId="9" fillId="0" borderId="1" xfId="0" applyFont="1" applyBorder="1" applyAlignment="1">
      <alignment horizontal="center" wrapText="1"/>
    </xf>
    <xf numFmtId="0" fontId="1" fillId="0" borderId="0" xfId="0" applyFont="1" applyAlignment="1">
      <alignment wrapText="1"/>
    </xf>
    <xf numFmtId="0" fontId="3" fillId="0" borderId="0" xfId="0" applyFont="1" applyAlignment="1">
      <alignment wrapText="1"/>
    </xf>
    <xf numFmtId="0" fontId="0" fillId="0" borderId="1" xfId="0" applyBorder="1" applyAlignment="1">
      <alignment horizontal="center"/>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1000" b="1" i="0" u="none" strike="noStrike" baseline="0">
                <a:solidFill>
                  <a:srgbClr val="000000"/>
                </a:solidFill>
                <a:latin typeface="Arial"/>
                <a:ea typeface="Arial"/>
                <a:cs typeface="Arial"/>
              </a:defRPr>
            </a:pPr>
            <a:r>
              <a:rPr lang="en-US"/>
              <a:t>3-wk and 9-wk Simple Moving Averages</a:t>
            </a:r>
          </a:p>
        </c:rich>
      </c:tx>
      <c:layout>
        <c:manualLayout>
          <c:xMode val="edge"/>
          <c:yMode val="edge"/>
          <c:x val="5.9692671394799106E-2"/>
          <c:y val="5.9915611814346084E-2"/>
        </c:manualLayout>
      </c:layout>
      <c:overlay val="0"/>
      <c:spPr>
        <a:noFill/>
        <a:ln w="25400">
          <a:noFill/>
        </a:ln>
      </c:spPr>
    </c:title>
    <c:autoTitleDeleted val="0"/>
    <c:plotArea>
      <c:layout>
        <c:manualLayout>
          <c:layoutTarget val="inner"/>
          <c:xMode val="edge"/>
          <c:yMode val="edge"/>
          <c:x val="0.12588674279480888"/>
          <c:y val="0.18481012658227863"/>
          <c:w val="0.84220003982442659"/>
          <c:h val="0.65316455696202569"/>
        </c:manualLayout>
      </c:layout>
      <c:scatterChart>
        <c:scatterStyle val="lineMarker"/>
        <c:varyColors val="0"/>
        <c:ser>
          <c:idx val="0"/>
          <c:order val="0"/>
          <c:tx>
            <c:v>Actual Demand</c:v>
          </c:tx>
          <c:spPr>
            <a:ln w="25400">
              <a:solidFill>
                <a:srgbClr val="000000"/>
              </a:solidFill>
              <a:prstDash val="solid"/>
            </a:ln>
          </c:spPr>
          <c:marker>
            <c:symbol val="none"/>
          </c:marker>
          <c:xVal>
            <c:numRef>
              <c:f>'Exhibit 18.4'!$B$6:$B$35</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xVal>
          <c:yVal>
            <c:numRef>
              <c:f>'Exhibit 18.4'!$C$6:$C$35</c:f>
              <c:numCache>
                <c:formatCode>#,##0</c:formatCode>
                <c:ptCount val="30"/>
                <c:pt idx="0">
                  <c:v>800</c:v>
                </c:pt>
                <c:pt idx="1">
                  <c:v>1400</c:v>
                </c:pt>
                <c:pt idx="2">
                  <c:v>1000</c:v>
                </c:pt>
                <c:pt idx="3">
                  <c:v>1500</c:v>
                </c:pt>
                <c:pt idx="4">
                  <c:v>1500</c:v>
                </c:pt>
                <c:pt idx="5">
                  <c:v>1300</c:v>
                </c:pt>
                <c:pt idx="6">
                  <c:v>1800</c:v>
                </c:pt>
                <c:pt idx="7">
                  <c:v>1700</c:v>
                </c:pt>
                <c:pt idx="8">
                  <c:v>1300</c:v>
                </c:pt>
                <c:pt idx="9">
                  <c:v>1700</c:v>
                </c:pt>
                <c:pt idx="10">
                  <c:v>1700</c:v>
                </c:pt>
                <c:pt idx="11">
                  <c:v>1500</c:v>
                </c:pt>
                <c:pt idx="12">
                  <c:v>2300</c:v>
                </c:pt>
                <c:pt idx="13">
                  <c:v>2300</c:v>
                </c:pt>
                <c:pt idx="14">
                  <c:v>2000</c:v>
                </c:pt>
                <c:pt idx="15">
                  <c:v>1700</c:v>
                </c:pt>
                <c:pt idx="16">
                  <c:v>1800</c:v>
                </c:pt>
                <c:pt idx="17">
                  <c:v>2200</c:v>
                </c:pt>
                <c:pt idx="18">
                  <c:v>1900</c:v>
                </c:pt>
                <c:pt idx="19">
                  <c:v>2400</c:v>
                </c:pt>
                <c:pt idx="20">
                  <c:v>2400</c:v>
                </c:pt>
                <c:pt idx="21">
                  <c:v>2600</c:v>
                </c:pt>
                <c:pt idx="22">
                  <c:v>2000</c:v>
                </c:pt>
                <c:pt idx="23">
                  <c:v>2500</c:v>
                </c:pt>
                <c:pt idx="24">
                  <c:v>2600</c:v>
                </c:pt>
                <c:pt idx="25">
                  <c:v>2200</c:v>
                </c:pt>
                <c:pt idx="26">
                  <c:v>2200</c:v>
                </c:pt>
                <c:pt idx="27">
                  <c:v>2500</c:v>
                </c:pt>
                <c:pt idx="28">
                  <c:v>2400</c:v>
                </c:pt>
                <c:pt idx="29">
                  <c:v>2100</c:v>
                </c:pt>
              </c:numCache>
            </c:numRef>
          </c:yVal>
          <c:smooth val="0"/>
        </c:ser>
        <c:ser>
          <c:idx val="1"/>
          <c:order val="1"/>
          <c:tx>
            <c:v>3-Wk Moving Average</c:v>
          </c:tx>
          <c:spPr>
            <a:ln w="25400">
              <a:solidFill>
                <a:srgbClr val="3366FF"/>
              </a:solidFill>
              <a:prstDash val="sysDash"/>
            </a:ln>
          </c:spPr>
          <c:marker>
            <c:symbol val="none"/>
          </c:marker>
          <c:xVal>
            <c:numRef>
              <c:f>'Exhibit 18.4'!$B$6:$B$35</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xVal>
          <c:yVal>
            <c:numRef>
              <c:f>'Exhibit 18.4'!$D$6:$D$35</c:f>
              <c:numCache>
                <c:formatCode>General</c:formatCode>
                <c:ptCount val="30"/>
                <c:pt idx="3" formatCode="#,##0">
                  <c:v>1066.6666666666667</c:v>
                </c:pt>
                <c:pt idx="4" formatCode="#,##0">
                  <c:v>1300</c:v>
                </c:pt>
                <c:pt idx="5" formatCode="#,##0">
                  <c:v>1333.3333333333333</c:v>
                </c:pt>
                <c:pt idx="6" formatCode="#,##0">
                  <c:v>1433.3333333333333</c:v>
                </c:pt>
                <c:pt idx="7" formatCode="#,##0">
                  <c:v>1533.3333333333333</c:v>
                </c:pt>
                <c:pt idx="8" formatCode="#,##0">
                  <c:v>1600</c:v>
                </c:pt>
                <c:pt idx="9" formatCode="#,##0">
                  <c:v>1600</c:v>
                </c:pt>
                <c:pt idx="10" formatCode="#,##0">
                  <c:v>1566.6666666666667</c:v>
                </c:pt>
                <c:pt idx="11" formatCode="#,##0">
                  <c:v>1566.6666666666667</c:v>
                </c:pt>
                <c:pt idx="12" formatCode="#,##0">
                  <c:v>1633.3333333333333</c:v>
                </c:pt>
                <c:pt idx="13" formatCode="#,##0">
                  <c:v>1833.3333333333333</c:v>
                </c:pt>
                <c:pt idx="14" formatCode="#,##0">
                  <c:v>2033.3333333333333</c:v>
                </c:pt>
                <c:pt idx="15" formatCode="#,##0">
                  <c:v>2200</c:v>
                </c:pt>
                <c:pt idx="16" formatCode="#,##0">
                  <c:v>2000</c:v>
                </c:pt>
                <c:pt idx="17" formatCode="#,##0">
                  <c:v>1833.3333333333333</c:v>
                </c:pt>
                <c:pt idx="18" formatCode="#,##0">
                  <c:v>1900</c:v>
                </c:pt>
                <c:pt idx="19" formatCode="#,##0">
                  <c:v>1966.6666666666667</c:v>
                </c:pt>
                <c:pt idx="20" formatCode="#,##0">
                  <c:v>2166.6666666666665</c:v>
                </c:pt>
                <c:pt idx="21" formatCode="#,##0">
                  <c:v>2233.3333333333335</c:v>
                </c:pt>
                <c:pt idx="22" formatCode="#,##0">
                  <c:v>2466.6666666666665</c:v>
                </c:pt>
                <c:pt idx="23" formatCode="#,##0">
                  <c:v>2333.3333333333335</c:v>
                </c:pt>
                <c:pt idx="24" formatCode="#,##0">
                  <c:v>2366.6666666666665</c:v>
                </c:pt>
                <c:pt idx="25" formatCode="#,##0">
                  <c:v>2366.6666666666665</c:v>
                </c:pt>
                <c:pt idx="26" formatCode="#,##0">
                  <c:v>2433.3333333333335</c:v>
                </c:pt>
                <c:pt idx="27" formatCode="#,##0">
                  <c:v>2333.3333333333335</c:v>
                </c:pt>
                <c:pt idx="28" formatCode="#,##0">
                  <c:v>2300</c:v>
                </c:pt>
                <c:pt idx="29" formatCode="#,##0">
                  <c:v>2366.6666666666665</c:v>
                </c:pt>
              </c:numCache>
            </c:numRef>
          </c:yVal>
          <c:smooth val="0"/>
        </c:ser>
        <c:ser>
          <c:idx val="2"/>
          <c:order val="2"/>
          <c:tx>
            <c:v>9-Wk Moving Average</c:v>
          </c:tx>
          <c:spPr>
            <a:ln w="25400">
              <a:solidFill>
                <a:srgbClr val="FF0000"/>
              </a:solidFill>
              <a:prstDash val="solid"/>
            </a:ln>
          </c:spPr>
          <c:marker>
            <c:symbol val="none"/>
          </c:marker>
          <c:xVal>
            <c:numRef>
              <c:f>'Exhibit 18.4'!$B$6:$B$35</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xVal>
          <c:yVal>
            <c:numRef>
              <c:f>'Exhibit 18.4'!$E$6:$E$35</c:f>
              <c:numCache>
                <c:formatCode>General</c:formatCode>
                <c:ptCount val="30"/>
                <c:pt idx="9" formatCode="#,##0">
                  <c:v>1366.6666666666667</c:v>
                </c:pt>
                <c:pt idx="10" formatCode="#,##0">
                  <c:v>1466.6666666666667</c:v>
                </c:pt>
                <c:pt idx="11" formatCode="#,##0">
                  <c:v>1500</c:v>
                </c:pt>
                <c:pt idx="12" formatCode="#,##0">
                  <c:v>1555.5555555555557</c:v>
                </c:pt>
                <c:pt idx="13" formatCode="#,##0">
                  <c:v>1644.4444444444443</c:v>
                </c:pt>
                <c:pt idx="14" formatCode="#,##0">
                  <c:v>1733.3333333333333</c:v>
                </c:pt>
                <c:pt idx="15" formatCode="#,##0">
                  <c:v>1811.1111111111111</c:v>
                </c:pt>
                <c:pt idx="16" formatCode="#,##0">
                  <c:v>1800</c:v>
                </c:pt>
                <c:pt idx="17" formatCode="#,##0">
                  <c:v>1811.1111111111111</c:v>
                </c:pt>
                <c:pt idx="18" formatCode="#,##0">
                  <c:v>1911.1111111111111</c:v>
                </c:pt>
                <c:pt idx="19" formatCode="#,##0">
                  <c:v>1933.3333333333333</c:v>
                </c:pt>
                <c:pt idx="20" formatCode="#,##0">
                  <c:v>2011.1111111111111</c:v>
                </c:pt>
                <c:pt idx="21" formatCode="#,##0">
                  <c:v>2111.1111111111113</c:v>
                </c:pt>
                <c:pt idx="22" formatCode="#,##0">
                  <c:v>2144.4444444444443</c:v>
                </c:pt>
                <c:pt idx="23" formatCode="#,##0">
                  <c:v>2111.1111111111113</c:v>
                </c:pt>
                <c:pt idx="24" formatCode="#,##0">
                  <c:v>2166.6666666666665</c:v>
                </c:pt>
                <c:pt idx="25" formatCode="#,##0">
                  <c:v>2266.6666666666665</c:v>
                </c:pt>
                <c:pt idx="26" formatCode="#,##0">
                  <c:v>2311.1111111111113</c:v>
                </c:pt>
                <c:pt idx="27" formatCode="#,##0">
                  <c:v>2311.1111111111113</c:v>
                </c:pt>
                <c:pt idx="28" formatCode="#,##0">
                  <c:v>2377.7777777777778</c:v>
                </c:pt>
                <c:pt idx="29" formatCode="#,##0">
                  <c:v>2377.7777777777778</c:v>
                </c:pt>
              </c:numCache>
            </c:numRef>
          </c:yVal>
          <c:smooth val="0"/>
        </c:ser>
        <c:dLbls>
          <c:showLegendKey val="0"/>
          <c:showVal val="0"/>
          <c:showCatName val="0"/>
          <c:showSerName val="0"/>
          <c:showPercent val="0"/>
          <c:showBubbleSize val="0"/>
        </c:dLbls>
        <c:axId val="153968000"/>
        <c:axId val="110061056"/>
      </c:scatterChart>
      <c:valAx>
        <c:axId val="153968000"/>
        <c:scaling>
          <c:orientation val="minMax"/>
          <c:max val="32"/>
        </c:scaling>
        <c:delete val="0"/>
        <c:axPos val="b"/>
        <c:title>
          <c:tx>
            <c:rich>
              <a:bodyPr/>
              <a:lstStyle/>
              <a:p>
                <a:pPr>
                  <a:defRPr sz="925" b="1" i="0" u="none" strike="noStrike" baseline="0">
                    <a:solidFill>
                      <a:srgbClr val="000000"/>
                    </a:solidFill>
                    <a:latin typeface="Arial"/>
                    <a:ea typeface="Arial"/>
                    <a:cs typeface="Arial"/>
                  </a:defRPr>
                </a:pPr>
                <a:r>
                  <a:rPr lang="en-US"/>
                  <a:t>Week</a:t>
                </a:r>
              </a:p>
            </c:rich>
          </c:tx>
          <c:layout>
            <c:manualLayout>
              <c:xMode val="edge"/>
              <c:yMode val="edge"/>
              <c:x val="0.5106391820409153"/>
              <c:y val="0.9063291139240506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0061056"/>
        <c:crosses val="autoZero"/>
        <c:crossBetween val="midCat"/>
        <c:majorUnit val="4"/>
        <c:minorUnit val="2"/>
      </c:valAx>
      <c:valAx>
        <c:axId val="110061056"/>
        <c:scaling>
          <c:orientation val="minMax"/>
        </c:scaling>
        <c:delete val="0"/>
        <c:axPos val="l"/>
        <c:title>
          <c:tx>
            <c:rich>
              <a:bodyPr/>
              <a:lstStyle/>
              <a:p>
                <a:pPr>
                  <a:defRPr sz="875" b="1" i="0" u="none" strike="noStrike" baseline="0">
                    <a:solidFill>
                      <a:srgbClr val="000000"/>
                    </a:solidFill>
                    <a:latin typeface="Arial"/>
                    <a:ea typeface="Arial"/>
                    <a:cs typeface="Arial"/>
                  </a:defRPr>
                </a:pPr>
                <a:r>
                  <a:rPr lang="en-US"/>
                  <a:t>Demand</a:t>
                </a:r>
              </a:p>
            </c:rich>
          </c:tx>
          <c:layout>
            <c:manualLayout>
              <c:xMode val="edge"/>
              <c:yMode val="edge"/>
              <c:x val="8.8652635770992364E-3"/>
              <c:y val="0.44810126582278481"/>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53968000"/>
        <c:crosses val="autoZero"/>
        <c:crossBetween val="midCat"/>
      </c:valAx>
      <c:spPr>
        <a:solidFill>
          <a:srgbClr val="FFFF99"/>
        </a:solidFill>
        <a:ln w="12700">
          <a:solidFill>
            <a:srgbClr val="808080"/>
          </a:solidFill>
          <a:prstDash val="solid"/>
        </a:ln>
      </c:spPr>
    </c:plotArea>
    <c:legend>
      <c:legendPos val="r"/>
      <c:layout>
        <c:manualLayout>
          <c:xMode val="edge"/>
          <c:yMode val="edge"/>
          <c:x val="0.6666678209978617"/>
          <c:y val="4.0506329113924072E-2"/>
          <c:w val="0.30319201433679344"/>
          <c:h val="0.13670886075949379"/>
        </c:manualLayout>
      </c:layout>
      <c:overlay val="0"/>
      <c:spPr>
        <a:solidFill>
          <a:srgbClr val="99CCFF"/>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99CCFF"/>
    </a:solidFill>
    <a:ln w="3175">
      <a:solidFill>
        <a:srgbClr val="000000"/>
      </a:solidFill>
      <a:prstDash val="solid"/>
    </a:ln>
  </c:spPr>
  <c:txPr>
    <a:bodyPr/>
    <a:lstStyle/>
    <a:p>
      <a:pPr>
        <a:defRPr sz="1500" b="0" i="0" u="none" strike="noStrike" baseline="0">
          <a:solidFill>
            <a:srgbClr val="000000"/>
          </a:solidFill>
          <a:latin typeface="Arial"/>
          <a:ea typeface="Arial"/>
          <a:cs typeface="Arial"/>
        </a:defRPr>
      </a:pPr>
      <a:endParaRPr lang="en-US"/>
    </a:p>
  </c:txPr>
  <c:printSettings>
    <c:headerFooter alignWithMargins="0"/>
    <c:pageMargins b="1.5" l="1.25" r="1.25" t="1.5" header="0.5" footer="1"/>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1" i="0" u="none" strike="noStrike" baseline="0">
                <a:solidFill>
                  <a:srgbClr val="000000"/>
                </a:solidFill>
                <a:latin typeface="Arial"/>
                <a:ea typeface="Arial"/>
                <a:cs typeface="Arial"/>
              </a:defRPr>
            </a:pPr>
            <a:r>
              <a:rPr lang="en-US"/>
              <a:t>Exhibit 3.7 Least Squares Regression Line</a:t>
            </a:r>
          </a:p>
        </c:rich>
      </c:tx>
      <c:layout>
        <c:manualLayout>
          <c:xMode val="edge"/>
          <c:yMode val="edge"/>
          <c:x val="3.1598541689545415E-2"/>
          <c:y val="5.4140127388535034E-2"/>
        </c:manualLayout>
      </c:layout>
      <c:overlay val="0"/>
      <c:spPr>
        <a:noFill/>
        <a:ln w="25400">
          <a:noFill/>
        </a:ln>
      </c:spPr>
    </c:title>
    <c:autoTitleDeleted val="0"/>
    <c:plotArea>
      <c:layout>
        <c:manualLayout>
          <c:layoutTarget val="inner"/>
          <c:xMode val="edge"/>
          <c:yMode val="edge"/>
          <c:x val="0.14498154422262025"/>
          <c:y val="0.20063694267515925"/>
          <c:w val="0.81412713294240568"/>
          <c:h val="0.59872611464968162"/>
        </c:manualLayout>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inear"/>
            <c:dispRSqr val="0"/>
            <c:dispEq val="0"/>
          </c:trendline>
          <c:yVal>
            <c:numRef>
              <c:f>'Example 18.6 - 18.7'!$C$6:$C$17</c:f>
              <c:numCache>
                <c:formatCode>#,##0_)</c:formatCode>
                <c:ptCount val="12"/>
                <c:pt idx="0">
                  <c:v>600</c:v>
                </c:pt>
                <c:pt idx="1">
                  <c:v>1550</c:v>
                </c:pt>
                <c:pt idx="2">
                  <c:v>1500</c:v>
                </c:pt>
                <c:pt idx="3">
                  <c:v>1500</c:v>
                </c:pt>
                <c:pt idx="4">
                  <c:v>2400</c:v>
                </c:pt>
                <c:pt idx="5">
                  <c:v>3100</c:v>
                </c:pt>
                <c:pt idx="6">
                  <c:v>2600</c:v>
                </c:pt>
                <c:pt idx="7">
                  <c:v>2900</c:v>
                </c:pt>
                <c:pt idx="8">
                  <c:v>3800</c:v>
                </c:pt>
                <c:pt idx="9">
                  <c:v>4500</c:v>
                </c:pt>
                <c:pt idx="10">
                  <c:v>4000</c:v>
                </c:pt>
                <c:pt idx="11">
                  <c:v>4900</c:v>
                </c:pt>
              </c:numCache>
            </c:numRef>
          </c:yVal>
          <c:smooth val="0"/>
        </c:ser>
        <c:dLbls>
          <c:showLegendKey val="0"/>
          <c:showVal val="0"/>
          <c:showCatName val="0"/>
          <c:showSerName val="0"/>
          <c:showPercent val="0"/>
          <c:showBubbleSize val="0"/>
        </c:dLbls>
        <c:axId val="110080000"/>
        <c:axId val="110081920"/>
      </c:scatterChart>
      <c:valAx>
        <c:axId val="110080000"/>
        <c:scaling>
          <c:orientation val="minMax"/>
        </c:scaling>
        <c:delete val="0"/>
        <c:axPos val="b"/>
        <c:title>
          <c:tx>
            <c:rich>
              <a:bodyPr/>
              <a:lstStyle/>
              <a:p>
                <a:pPr>
                  <a:defRPr sz="850" b="1" i="0" u="none" strike="noStrike" baseline="0">
                    <a:solidFill>
                      <a:srgbClr val="000000"/>
                    </a:solidFill>
                    <a:latin typeface="Arial"/>
                    <a:ea typeface="Arial"/>
                    <a:cs typeface="Arial"/>
                  </a:defRPr>
                </a:pPr>
                <a:r>
                  <a:rPr lang="en-US"/>
                  <a:t>Quarters</a:t>
                </a:r>
              </a:p>
            </c:rich>
          </c:tx>
          <c:layout>
            <c:manualLayout>
              <c:xMode val="edge"/>
              <c:yMode val="edge"/>
              <c:x val="0.50371792928628256"/>
              <c:y val="0.8853503184713374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10081920"/>
        <c:crosses val="autoZero"/>
        <c:crossBetween val="midCat"/>
      </c:valAx>
      <c:valAx>
        <c:axId val="110081920"/>
        <c:scaling>
          <c:orientation val="minMax"/>
        </c:scaling>
        <c:delete val="0"/>
        <c:axPos val="l"/>
        <c:title>
          <c:tx>
            <c:rich>
              <a:bodyPr/>
              <a:lstStyle/>
              <a:p>
                <a:pPr>
                  <a:defRPr sz="850" b="1" i="0" u="none" strike="noStrike" baseline="0">
                    <a:solidFill>
                      <a:srgbClr val="000000"/>
                    </a:solidFill>
                    <a:latin typeface="Arial"/>
                    <a:ea typeface="Arial"/>
                    <a:cs typeface="Arial"/>
                  </a:defRPr>
                </a:pPr>
                <a:r>
                  <a:rPr lang="en-US"/>
                  <a:t>Sales</a:t>
                </a:r>
              </a:p>
            </c:rich>
          </c:tx>
          <c:layout>
            <c:manualLayout>
              <c:xMode val="edge"/>
              <c:yMode val="edge"/>
              <c:x val="2.9739803943101582E-2"/>
              <c:y val="0.44585987261146498"/>
            </c:manualLayout>
          </c:layout>
          <c:overlay val="0"/>
          <c:spPr>
            <a:noFill/>
            <a:ln w="25400">
              <a:noFill/>
            </a:ln>
          </c:spPr>
        </c:title>
        <c:numFmt formatCode="#,##0_)"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10080000"/>
        <c:crosses val="autoZero"/>
        <c:crossBetween val="midCat"/>
      </c:valAx>
      <c:spPr>
        <a:solidFill>
          <a:srgbClr val="FFFF99"/>
        </a:solidFill>
        <a:ln w="12700">
          <a:solidFill>
            <a:srgbClr val="808080"/>
          </a:solidFill>
          <a:prstDash val="solid"/>
        </a:ln>
      </c:spPr>
    </c:plotArea>
    <c:plotVisOnly val="1"/>
    <c:dispBlanksAs val="gap"/>
    <c:showDLblsOverMax val="0"/>
  </c:chart>
  <c:spPr>
    <a:solidFill>
      <a:srgbClr val="99CCFF"/>
    </a:solidFill>
    <a:ln w="12700">
      <a:solidFill>
        <a:srgbClr val="99CCFF"/>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Time Series Plot - Additive vs. Multiplicative 
Seasonalized Demands</a:t>
            </a:r>
          </a:p>
        </c:rich>
      </c:tx>
      <c:layout>
        <c:manualLayout>
          <c:xMode val="edge"/>
          <c:yMode val="edge"/>
          <c:x val="4.2071263891939562E-2"/>
          <c:y val="4.199485829554804E-2"/>
        </c:manualLayout>
      </c:layout>
      <c:overlay val="0"/>
      <c:spPr>
        <a:noFill/>
        <a:ln w="25400">
          <a:noFill/>
        </a:ln>
      </c:spPr>
    </c:title>
    <c:autoTitleDeleted val="0"/>
    <c:plotArea>
      <c:layout>
        <c:manualLayout>
          <c:layoutTarget val="inner"/>
          <c:xMode val="edge"/>
          <c:yMode val="edge"/>
          <c:x val="0.12783191721012402"/>
          <c:y val="0.23884575655592963"/>
          <c:w val="0.83171652463295842"/>
          <c:h val="0.58005398020725651"/>
        </c:manualLayout>
      </c:layout>
      <c:scatterChart>
        <c:scatterStyle val="smoothMarker"/>
        <c:varyColors val="0"/>
        <c:ser>
          <c:idx val="0"/>
          <c:order val="0"/>
          <c:tx>
            <c:v>Trend Line</c:v>
          </c:tx>
          <c:spPr>
            <a:ln w="25400">
              <a:solidFill>
                <a:srgbClr val="000000"/>
              </a:solidFill>
              <a:prstDash val="solid"/>
            </a:ln>
          </c:spPr>
          <c:marker>
            <c:symbol val="none"/>
          </c:marker>
          <c:xVal>
            <c:numRef>
              <c:f>'Exhibit 18.9'!$B$19:$B$66</c:f>
              <c:numCache>
                <c:formatCode>General</c:formatCode>
                <c:ptCount val="4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numCache>
            </c:numRef>
          </c:xVal>
          <c:yVal>
            <c:numRef>
              <c:f>'Exhibit 18.9'!$C$19:$C$66</c:f>
              <c:numCache>
                <c:formatCode>General</c:formatCode>
                <c:ptCount val="48"/>
                <c:pt idx="0">
                  <c:v>1000</c:v>
                </c:pt>
                <c:pt idx="1">
                  <c:v>1050</c:v>
                </c:pt>
                <c:pt idx="2">
                  <c:v>1100</c:v>
                </c:pt>
                <c:pt idx="3">
                  <c:v>1150</c:v>
                </c:pt>
                <c:pt idx="4">
                  <c:v>1200</c:v>
                </c:pt>
                <c:pt idx="5">
                  <c:v>1250</c:v>
                </c:pt>
                <c:pt idx="6">
                  <c:v>1300</c:v>
                </c:pt>
                <c:pt idx="7">
                  <c:v>1350</c:v>
                </c:pt>
                <c:pt idx="8">
                  <c:v>1400</c:v>
                </c:pt>
                <c:pt idx="9">
                  <c:v>1450</c:v>
                </c:pt>
                <c:pt idx="10">
                  <c:v>1500</c:v>
                </c:pt>
                <c:pt idx="11">
                  <c:v>1550</c:v>
                </c:pt>
                <c:pt idx="12">
                  <c:v>1600</c:v>
                </c:pt>
                <c:pt idx="13">
                  <c:v>1650</c:v>
                </c:pt>
                <c:pt idx="14">
                  <c:v>1700</c:v>
                </c:pt>
                <c:pt idx="15">
                  <c:v>1750</c:v>
                </c:pt>
                <c:pt idx="16">
                  <c:v>1800</c:v>
                </c:pt>
                <c:pt idx="17">
                  <c:v>1850</c:v>
                </c:pt>
                <c:pt idx="18">
                  <c:v>1900</c:v>
                </c:pt>
                <c:pt idx="19">
                  <c:v>1950</c:v>
                </c:pt>
                <c:pt idx="20">
                  <c:v>2000</c:v>
                </c:pt>
                <c:pt idx="21">
                  <c:v>2050</c:v>
                </c:pt>
                <c:pt idx="22">
                  <c:v>2100</c:v>
                </c:pt>
                <c:pt idx="23">
                  <c:v>2150</c:v>
                </c:pt>
                <c:pt idx="24">
                  <c:v>2200</c:v>
                </c:pt>
                <c:pt idx="25">
                  <c:v>2250</c:v>
                </c:pt>
                <c:pt idx="26">
                  <c:v>2300</c:v>
                </c:pt>
                <c:pt idx="27">
                  <c:v>2350</c:v>
                </c:pt>
                <c:pt idx="28">
                  <c:v>2400</c:v>
                </c:pt>
                <c:pt idx="29">
                  <c:v>2450</c:v>
                </c:pt>
                <c:pt idx="30">
                  <c:v>2500</c:v>
                </c:pt>
                <c:pt idx="31">
                  <c:v>2550</c:v>
                </c:pt>
                <c:pt idx="32">
                  <c:v>2600</c:v>
                </c:pt>
                <c:pt idx="33">
                  <c:v>2650</c:v>
                </c:pt>
                <c:pt idx="34">
                  <c:v>2700</c:v>
                </c:pt>
                <c:pt idx="35">
                  <c:v>2750</c:v>
                </c:pt>
                <c:pt idx="36">
                  <c:v>2800</c:v>
                </c:pt>
                <c:pt idx="37">
                  <c:v>2850</c:v>
                </c:pt>
                <c:pt idx="38">
                  <c:v>2900</c:v>
                </c:pt>
                <c:pt idx="39">
                  <c:v>2950</c:v>
                </c:pt>
                <c:pt idx="40">
                  <c:v>3000</c:v>
                </c:pt>
                <c:pt idx="41">
                  <c:v>3050</c:v>
                </c:pt>
                <c:pt idx="42">
                  <c:v>3100</c:v>
                </c:pt>
                <c:pt idx="43">
                  <c:v>3150</c:v>
                </c:pt>
                <c:pt idx="44">
                  <c:v>3200</c:v>
                </c:pt>
                <c:pt idx="45">
                  <c:v>3250</c:v>
                </c:pt>
                <c:pt idx="46">
                  <c:v>3300</c:v>
                </c:pt>
                <c:pt idx="47">
                  <c:v>3350</c:v>
                </c:pt>
              </c:numCache>
            </c:numRef>
          </c:yVal>
          <c:smooth val="1"/>
        </c:ser>
        <c:ser>
          <c:idx val="1"/>
          <c:order val="1"/>
          <c:tx>
            <c:v>Additive Seasonal</c:v>
          </c:tx>
          <c:spPr>
            <a:ln w="25400">
              <a:solidFill>
                <a:srgbClr val="FF0000"/>
              </a:solidFill>
              <a:prstDash val="solid"/>
            </a:ln>
          </c:spPr>
          <c:marker>
            <c:symbol val="none"/>
          </c:marker>
          <c:xVal>
            <c:numRef>
              <c:f>'Exhibit 18.9'!$B$19:$B$66</c:f>
              <c:numCache>
                <c:formatCode>General</c:formatCode>
                <c:ptCount val="4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numCache>
            </c:numRef>
          </c:xVal>
          <c:yVal>
            <c:numRef>
              <c:f>'Exhibit 18.9'!$E$19:$E$66</c:f>
              <c:numCache>
                <c:formatCode>0</c:formatCode>
                <c:ptCount val="48"/>
                <c:pt idx="0">
                  <c:v>930</c:v>
                </c:pt>
                <c:pt idx="1">
                  <c:v>910</c:v>
                </c:pt>
                <c:pt idx="2">
                  <c:v>820</c:v>
                </c:pt>
                <c:pt idx="3">
                  <c:v>730</c:v>
                </c:pt>
                <c:pt idx="4">
                  <c:v>920</c:v>
                </c:pt>
                <c:pt idx="5">
                  <c:v>1110</c:v>
                </c:pt>
                <c:pt idx="6">
                  <c:v>1440</c:v>
                </c:pt>
                <c:pt idx="7">
                  <c:v>1630</c:v>
                </c:pt>
                <c:pt idx="8">
                  <c:v>1820</c:v>
                </c:pt>
                <c:pt idx="9">
                  <c:v>1730</c:v>
                </c:pt>
                <c:pt idx="10">
                  <c:v>1640</c:v>
                </c:pt>
                <c:pt idx="11">
                  <c:v>1620</c:v>
                </c:pt>
                <c:pt idx="12">
                  <c:v>1530</c:v>
                </c:pt>
                <c:pt idx="13">
                  <c:v>1510</c:v>
                </c:pt>
                <c:pt idx="14">
                  <c:v>1420</c:v>
                </c:pt>
                <c:pt idx="15">
                  <c:v>1330</c:v>
                </c:pt>
                <c:pt idx="16">
                  <c:v>1520</c:v>
                </c:pt>
                <c:pt idx="17">
                  <c:v>1710</c:v>
                </c:pt>
                <c:pt idx="18">
                  <c:v>2040</c:v>
                </c:pt>
                <c:pt idx="19">
                  <c:v>2230</c:v>
                </c:pt>
                <c:pt idx="20">
                  <c:v>2420</c:v>
                </c:pt>
                <c:pt idx="21">
                  <c:v>2330</c:v>
                </c:pt>
                <c:pt idx="22">
                  <c:v>2240</c:v>
                </c:pt>
                <c:pt idx="23">
                  <c:v>2220</c:v>
                </c:pt>
                <c:pt idx="24">
                  <c:v>2130</c:v>
                </c:pt>
                <c:pt idx="25">
                  <c:v>2110</c:v>
                </c:pt>
                <c:pt idx="26">
                  <c:v>2020</c:v>
                </c:pt>
                <c:pt idx="27">
                  <c:v>1930</c:v>
                </c:pt>
                <c:pt idx="28">
                  <c:v>2120</c:v>
                </c:pt>
                <c:pt idx="29">
                  <c:v>2310</c:v>
                </c:pt>
                <c:pt idx="30">
                  <c:v>2640</c:v>
                </c:pt>
                <c:pt idx="31">
                  <c:v>2830</c:v>
                </c:pt>
                <c:pt idx="32">
                  <c:v>3020</c:v>
                </c:pt>
                <c:pt idx="33">
                  <c:v>2930</c:v>
                </c:pt>
                <c:pt idx="34">
                  <c:v>2840</c:v>
                </c:pt>
                <c:pt idx="35">
                  <c:v>2820</c:v>
                </c:pt>
                <c:pt idx="36">
                  <c:v>2730</c:v>
                </c:pt>
                <c:pt idx="37">
                  <c:v>2710</c:v>
                </c:pt>
                <c:pt idx="38">
                  <c:v>2620</c:v>
                </c:pt>
                <c:pt idx="39">
                  <c:v>2530</c:v>
                </c:pt>
                <c:pt idx="40">
                  <c:v>2720</c:v>
                </c:pt>
                <c:pt idx="41">
                  <c:v>2910</c:v>
                </c:pt>
                <c:pt idx="42">
                  <c:v>3240</c:v>
                </c:pt>
                <c:pt idx="43">
                  <c:v>3430</c:v>
                </c:pt>
                <c:pt idx="44">
                  <c:v>3620</c:v>
                </c:pt>
                <c:pt idx="45">
                  <c:v>3530</c:v>
                </c:pt>
                <c:pt idx="46">
                  <c:v>3440</c:v>
                </c:pt>
                <c:pt idx="47">
                  <c:v>3420</c:v>
                </c:pt>
              </c:numCache>
            </c:numRef>
          </c:yVal>
          <c:smooth val="1"/>
        </c:ser>
        <c:ser>
          <c:idx val="2"/>
          <c:order val="2"/>
          <c:tx>
            <c:v>Multiplicative Seasonal Demand</c:v>
          </c:tx>
          <c:spPr>
            <a:ln w="25400">
              <a:solidFill>
                <a:srgbClr val="0000FF"/>
              </a:solidFill>
              <a:prstDash val="solid"/>
            </a:ln>
          </c:spPr>
          <c:marker>
            <c:symbol val="none"/>
          </c:marker>
          <c:xVal>
            <c:numRef>
              <c:f>'Exhibit 18.9'!$B$19:$B$66</c:f>
              <c:numCache>
                <c:formatCode>General</c:formatCode>
                <c:ptCount val="4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numCache>
            </c:numRef>
          </c:xVal>
          <c:yVal>
            <c:numRef>
              <c:f>'Exhibit 18.9'!$G$19:$G$66</c:f>
              <c:numCache>
                <c:formatCode>General</c:formatCode>
                <c:ptCount val="48"/>
                <c:pt idx="0">
                  <c:v>930</c:v>
                </c:pt>
                <c:pt idx="1">
                  <c:v>903</c:v>
                </c:pt>
                <c:pt idx="2">
                  <c:v>792</c:v>
                </c:pt>
                <c:pt idx="3">
                  <c:v>506.00000000000006</c:v>
                </c:pt>
                <c:pt idx="4">
                  <c:v>864</c:v>
                </c:pt>
                <c:pt idx="5">
                  <c:v>1075</c:v>
                </c:pt>
                <c:pt idx="6">
                  <c:v>1481.9999999999998</c:v>
                </c:pt>
                <c:pt idx="7">
                  <c:v>1728</c:v>
                </c:pt>
                <c:pt idx="8">
                  <c:v>2184</c:v>
                </c:pt>
                <c:pt idx="9">
                  <c:v>1856</c:v>
                </c:pt>
                <c:pt idx="10">
                  <c:v>1709.9999999999998</c:v>
                </c:pt>
                <c:pt idx="11">
                  <c:v>1658.5</c:v>
                </c:pt>
                <c:pt idx="12">
                  <c:v>1488</c:v>
                </c:pt>
                <c:pt idx="13">
                  <c:v>1419</c:v>
                </c:pt>
                <c:pt idx="14">
                  <c:v>1224</c:v>
                </c:pt>
                <c:pt idx="15">
                  <c:v>770.00000000000011</c:v>
                </c:pt>
                <c:pt idx="16">
                  <c:v>1296</c:v>
                </c:pt>
                <c:pt idx="17">
                  <c:v>1591</c:v>
                </c:pt>
                <c:pt idx="18">
                  <c:v>2166</c:v>
                </c:pt>
                <c:pt idx="19">
                  <c:v>2496</c:v>
                </c:pt>
                <c:pt idx="20">
                  <c:v>3120</c:v>
                </c:pt>
                <c:pt idx="21">
                  <c:v>2624</c:v>
                </c:pt>
                <c:pt idx="22">
                  <c:v>2394</c:v>
                </c:pt>
                <c:pt idx="23">
                  <c:v>2300.5</c:v>
                </c:pt>
                <c:pt idx="24">
                  <c:v>2046</c:v>
                </c:pt>
                <c:pt idx="25">
                  <c:v>1935</c:v>
                </c:pt>
                <c:pt idx="26">
                  <c:v>1656</c:v>
                </c:pt>
                <c:pt idx="27">
                  <c:v>1034.0000000000002</c:v>
                </c:pt>
                <c:pt idx="28">
                  <c:v>1728</c:v>
                </c:pt>
                <c:pt idx="29">
                  <c:v>2107</c:v>
                </c:pt>
                <c:pt idx="30">
                  <c:v>2849.9999999999995</c:v>
                </c:pt>
                <c:pt idx="31">
                  <c:v>3264</c:v>
                </c:pt>
                <c:pt idx="32">
                  <c:v>4056</c:v>
                </c:pt>
                <c:pt idx="33">
                  <c:v>3392</c:v>
                </c:pt>
                <c:pt idx="34">
                  <c:v>3077.9999999999995</c:v>
                </c:pt>
                <c:pt idx="35">
                  <c:v>2942.5</c:v>
                </c:pt>
                <c:pt idx="36">
                  <c:v>2604</c:v>
                </c:pt>
                <c:pt idx="37">
                  <c:v>2451</c:v>
                </c:pt>
                <c:pt idx="38">
                  <c:v>2088</c:v>
                </c:pt>
                <c:pt idx="39">
                  <c:v>1298.0000000000002</c:v>
                </c:pt>
                <c:pt idx="40">
                  <c:v>2160</c:v>
                </c:pt>
                <c:pt idx="41">
                  <c:v>2623</c:v>
                </c:pt>
                <c:pt idx="42">
                  <c:v>3533.9999999999995</c:v>
                </c:pt>
                <c:pt idx="43">
                  <c:v>4032</c:v>
                </c:pt>
                <c:pt idx="44">
                  <c:v>4992</c:v>
                </c:pt>
                <c:pt idx="45">
                  <c:v>4160</c:v>
                </c:pt>
                <c:pt idx="46">
                  <c:v>3761.9999999999995</c:v>
                </c:pt>
                <c:pt idx="47">
                  <c:v>3584.5</c:v>
                </c:pt>
              </c:numCache>
            </c:numRef>
          </c:yVal>
          <c:smooth val="1"/>
        </c:ser>
        <c:dLbls>
          <c:showLegendKey val="0"/>
          <c:showVal val="0"/>
          <c:showCatName val="0"/>
          <c:showSerName val="0"/>
          <c:showPercent val="0"/>
          <c:showBubbleSize val="0"/>
        </c:dLbls>
        <c:axId val="110263296"/>
        <c:axId val="110265472"/>
      </c:scatterChart>
      <c:valAx>
        <c:axId val="110263296"/>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Month</a:t>
                </a:r>
              </a:p>
            </c:rich>
          </c:tx>
          <c:layout>
            <c:manualLayout>
              <c:xMode val="edge"/>
              <c:yMode val="edge"/>
              <c:x val="0.50970954330619112"/>
              <c:y val="0.9002647747108107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0265472"/>
        <c:crosses val="autoZero"/>
        <c:crossBetween val="midCat"/>
      </c:valAx>
      <c:valAx>
        <c:axId val="110265472"/>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Demand</a:t>
                </a:r>
              </a:p>
            </c:rich>
          </c:tx>
          <c:layout>
            <c:manualLayout>
              <c:xMode val="edge"/>
              <c:yMode val="edge"/>
              <c:x val="2.589000854888588E-2"/>
              <c:y val="0.4540694053206134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0263296"/>
        <c:crosses val="autoZero"/>
        <c:crossBetween val="midCat"/>
      </c:valAx>
      <c:spPr>
        <a:solidFill>
          <a:srgbClr val="FFFF99"/>
        </a:solidFill>
        <a:ln w="25400">
          <a:noFill/>
        </a:ln>
      </c:spPr>
    </c:plotArea>
    <c:legend>
      <c:legendPos val="r"/>
      <c:layout>
        <c:manualLayout>
          <c:xMode val="edge"/>
          <c:yMode val="edge"/>
          <c:x val="0.68770335207978173"/>
          <c:y val="2.6246786434717541E-2"/>
          <c:w val="0.27184508976330185"/>
          <c:h val="0.20210025554732508"/>
        </c:manualLayout>
      </c:layout>
      <c:overlay val="0"/>
      <c:spPr>
        <a:solidFill>
          <a:srgbClr val="99CC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99CC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32075471698165E-2"/>
          <c:y val="8.090640456362698E-2"/>
          <c:w val="0.8773584905660381"/>
          <c:h val="0.71521261634246169"/>
        </c:manualLayout>
      </c:layout>
      <c:lineChart>
        <c:grouping val="standard"/>
        <c:varyColors val="0"/>
        <c:ser>
          <c:idx val="0"/>
          <c:order val="0"/>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inear"/>
            <c:dispRSqr val="0"/>
            <c:dispEq val="0"/>
          </c:trendline>
          <c:trendline>
            <c:spPr>
              <a:ln w="25400">
                <a:solidFill>
                  <a:srgbClr val="000000"/>
                </a:solidFill>
                <a:prstDash val="solid"/>
              </a:ln>
            </c:spPr>
            <c:trendlineType val="linear"/>
            <c:dispRSqr val="0"/>
            <c:dispEq val="0"/>
          </c:trendline>
          <c:cat>
            <c:strRef>
              <c:f>'Exhibit 18.10'!$C$7:$C$14</c:f>
              <c:strCache>
                <c:ptCount val="8"/>
                <c:pt idx="0">
                  <c:v>I</c:v>
                </c:pt>
                <c:pt idx="1">
                  <c:v>II</c:v>
                </c:pt>
                <c:pt idx="2">
                  <c:v>III</c:v>
                </c:pt>
                <c:pt idx="3">
                  <c:v>IV</c:v>
                </c:pt>
                <c:pt idx="4">
                  <c:v>I</c:v>
                </c:pt>
                <c:pt idx="5">
                  <c:v>II</c:v>
                </c:pt>
                <c:pt idx="6">
                  <c:v>III</c:v>
                </c:pt>
                <c:pt idx="7">
                  <c:v>IV</c:v>
                </c:pt>
              </c:strCache>
            </c:strRef>
          </c:cat>
          <c:val>
            <c:numRef>
              <c:f>'Exhibit 18.10'!$D$7:$D$14</c:f>
              <c:numCache>
                <c:formatCode>General</c:formatCode>
                <c:ptCount val="8"/>
                <c:pt idx="0">
                  <c:v>300</c:v>
                </c:pt>
                <c:pt idx="1">
                  <c:v>200</c:v>
                </c:pt>
                <c:pt idx="2">
                  <c:v>220</c:v>
                </c:pt>
                <c:pt idx="3">
                  <c:v>530</c:v>
                </c:pt>
                <c:pt idx="4">
                  <c:v>520</c:v>
                </c:pt>
                <c:pt idx="5">
                  <c:v>420</c:v>
                </c:pt>
                <c:pt idx="6">
                  <c:v>400</c:v>
                </c:pt>
                <c:pt idx="7">
                  <c:v>700</c:v>
                </c:pt>
              </c:numCache>
            </c:numRef>
          </c:val>
          <c:smooth val="0"/>
        </c:ser>
        <c:dLbls>
          <c:showLegendKey val="0"/>
          <c:showVal val="0"/>
          <c:showCatName val="0"/>
          <c:showSerName val="0"/>
          <c:showPercent val="0"/>
          <c:showBubbleSize val="0"/>
        </c:dLbls>
        <c:marker val="1"/>
        <c:smooth val="0"/>
        <c:axId val="110481792"/>
        <c:axId val="110483712"/>
      </c:lineChart>
      <c:catAx>
        <c:axId val="110481792"/>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Quarter, By Year</a:t>
                </a:r>
              </a:p>
            </c:rich>
          </c:tx>
          <c:layout>
            <c:manualLayout>
              <c:xMode val="edge"/>
              <c:yMode val="edge"/>
              <c:x val="0.43207547169811339"/>
              <c:y val="0.8834979378348056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0483712"/>
        <c:crosses val="autoZero"/>
        <c:auto val="1"/>
        <c:lblAlgn val="ctr"/>
        <c:lblOffset val="100"/>
        <c:tickLblSkip val="1"/>
        <c:tickMarkSkip val="1"/>
        <c:noMultiLvlLbl val="0"/>
      </c:catAx>
      <c:valAx>
        <c:axId val="11048371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0481792"/>
        <c:crosses val="autoZero"/>
        <c:crossBetween val="between"/>
      </c:valAx>
      <c:spPr>
        <a:solidFill>
          <a:srgbClr val="FFFF99"/>
        </a:solidFill>
        <a:ln w="12700">
          <a:solidFill>
            <a:srgbClr val="808080"/>
          </a:solidFill>
          <a:prstDash val="solid"/>
        </a:ln>
      </c:spPr>
    </c:plotArea>
    <c:legend>
      <c:legendPos val="r"/>
      <c:legendEntry>
        <c:idx val="1"/>
        <c:delete val="1"/>
      </c:legendEntry>
      <c:legendEntry>
        <c:idx val="2"/>
        <c:delete val="1"/>
      </c:legendEntry>
      <c:layout>
        <c:manualLayout>
          <c:xMode val="edge"/>
          <c:yMode val="edge"/>
          <c:x val="0.81132075471698117"/>
          <c:y val="0.70874010397737164"/>
          <c:w val="0.13962264150943396"/>
          <c:h val="6.4725123650901523E-2"/>
        </c:manualLayout>
      </c:layout>
      <c:overlay val="0"/>
      <c:spPr>
        <a:solidFill>
          <a:srgbClr val="FFFF99"/>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99CC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30253178600122"/>
          <c:y val="0.19685089826038138"/>
          <c:w val="0.74674437716538111"/>
          <c:h val="0.69029048323307163"/>
        </c:manualLayout>
      </c:layout>
      <c:scatterChart>
        <c:scatterStyle val="smoothMarker"/>
        <c:varyColors val="0"/>
        <c:ser>
          <c:idx val="0"/>
          <c:order val="0"/>
          <c:tx>
            <c:v>Original Data</c:v>
          </c:tx>
          <c:spPr>
            <a:ln w="28575">
              <a:noFill/>
            </a:ln>
          </c:spPr>
          <c:marker>
            <c:symbol val="square"/>
            <c:size val="5"/>
            <c:spPr>
              <a:solidFill>
                <a:srgbClr val="000080"/>
              </a:solidFill>
              <a:ln>
                <a:solidFill>
                  <a:srgbClr val="000080"/>
                </a:solidFill>
                <a:prstDash val="solid"/>
              </a:ln>
            </c:spPr>
          </c:marker>
          <c:trendline>
            <c:spPr>
              <a:ln w="25400">
                <a:solidFill>
                  <a:srgbClr val="000000"/>
                </a:solidFill>
                <a:prstDash val="solid"/>
              </a:ln>
            </c:spPr>
            <c:trendlineType val="linear"/>
            <c:dispRSqr val="0"/>
            <c:dispEq val="1"/>
            <c:trendlineLbl>
              <c:layout>
                <c:manualLayout>
                  <c:x val="-0.31777022842726937"/>
                  <c:y val="1.2731479241017626E-2"/>
                </c:manualLayout>
              </c:layout>
              <c:tx>
                <c:rich>
                  <a:bodyPr/>
                  <a:lstStyle/>
                  <a:p>
                    <a:pPr>
                      <a:defRPr sz="1000" b="0" i="0" u="none" strike="noStrike" baseline="0">
                        <a:solidFill>
                          <a:srgbClr val="000000"/>
                        </a:solidFill>
                        <a:latin typeface="Arial"/>
                        <a:ea typeface="Arial"/>
                        <a:cs typeface="Arial"/>
                      </a:defRPr>
                    </a:pPr>
                    <a:r>
                      <a:rPr lang="en-US"/>
                      <a:t>Deseasonalized equation
y = 554.9 + 342.2t</a:t>
                    </a:r>
                  </a:p>
                </c:rich>
              </c:tx>
              <c:numFmt formatCode="General" sourceLinked="0"/>
              <c:spPr>
                <a:noFill/>
                <a:ln w="25400">
                  <a:noFill/>
                </a:ln>
              </c:spPr>
            </c:trendlineLbl>
          </c:trendline>
          <c:xVal>
            <c:numRef>
              <c:f>'Exhibits 18.11 - 18.12'!$B$8:$B$19</c:f>
              <c:numCache>
                <c:formatCode>General</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'Exhibits 18.11 - 18.12'!$D$8:$D$19</c:f>
              <c:numCache>
                <c:formatCode>_(* #,##0_);_(* \(#,##0\);_(* "-"??_);_(@_)</c:formatCode>
                <c:ptCount val="12"/>
                <c:pt idx="0">
                  <c:v>600</c:v>
                </c:pt>
                <c:pt idx="1">
                  <c:v>1550</c:v>
                </c:pt>
                <c:pt idx="2">
                  <c:v>1500</c:v>
                </c:pt>
                <c:pt idx="3">
                  <c:v>1500</c:v>
                </c:pt>
                <c:pt idx="4">
                  <c:v>2400</c:v>
                </c:pt>
                <c:pt idx="5">
                  <c:v>3100</c:v>
                </c:pt>
                <c:pt idx="6">
                  <c:v>2600</c:v>
                </c:pt>
                <c:pt idx="7">
                  <c:v>2900</c:v>
                </c:pt>
                <c:pt idx="8">
                  <c:v>3800</c:v>
                </c:pt>
                <c:pt idx="9">
                  <c:v>4500</c:v>
                </c:pt>
                <c:pt idx="10">
                  <c:v>4000</c:v>
                </c:pt>
                <c:pt idx="11">
                  <c:v>4900</c:v>
                </c:pt>
              </c:numCache>
            </c:numRef>
          </c:yVal>
          <c:smooth val="0"/>
        </c:ser>
        <c:ser>
          <c:idx val="1"/>
          <c:order val="1"/>
          <c:tx>
            <c:v>Deseasonalized Data</c:v>
          </c:tx>
          <c:spPr>
            <a:ln w="28575">
              <a:noFill/>
            </a:ln>
          </c:spPr>
          <c:marker>
            <c:symbol val="triangle"/>
            <c:size val="5"/>
            <c:spPr>
              <a:solidFill>
                <a:srgbClr val="008080"/>
              </a:solidFill>
              <a:ln>
                <a:solidFill>
                  <a:srgbClr val="008080"/>
                </a:solidFill>
                <a:prstDash val="solid"/>
              </a:ln>
            </c:spPr>
          </c:marker>
          <c:xVal>
            <c:numRef>
              <c:f>'Exhibits 18.11 - 18.12'!$B$8:$B$19</c:f>
              <c:numCache>
                <c:formatCode>General</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'Exhibits 18.11 - 18.12'!$G$8:$G$19</c:f>
              <c:numCache>
                <c:formatCode>_(* #,##0.0_);_(* \(#,##0.0\);_(* "-"??_);_(@_)</c:formatCode>
                <c:ptCount val="12"/>
                <c:pt idx="0">
                  <c:v>735.66176470588232</c:v>
                </c:pt>
                <c:pt idx="1">
                  <c:v>1412.3633879781421</c:v>
                </c:pt>
                <c:pt idx="2">
                  <c:v>1543.9814814814813</c:v>
                </c:pt>
                <c:pt idx="3">
                  <c:v>1344.758064516129</c:v>
                </c:pt>
                <c:pt idx="4">
                  <c:v>2942.6470588235293</c:v>
                </c:pt>
                <c:pt idx="5">
                  <c:v>2824.7267759562842</c:v>
                </c:pt>
                <c:pt idx="6">
                  <c:v>2676.2345679012342</c:v>
                </c:pt>
                <c:pt idx="7">
                  <c:v>2599.8655913978491</c:v>
                </c:pt>
                <c:pt idx="8">
                  <c:v>4659.1911764705883</c:v>
                </c:pt>
                <c:pt idx="9">
                  <c:v>4100.4098360655735</c:v>
                </c:pt>
                <c:pt idx="10">
                  <c:v>4117.2839506172832</c:v>
                </c:pt>
                <c:pt idx="11">
                  <c:v>4392.8763440860212</c:v>
                </c:pt>
              </c:numCache>
            </c:numRef>
          </c:yVal>
          <c:smooth val="1"/>
        </c:ser>
        <c:dLbls>
          <c:showLegendKey val="0"/>
          <c:showVal val="0"/>
          <c:showCatName val="0"/>
          <c:showSerName val="0"/>
          <c:showPercent val="0"/>
          <c:showBubbleSize val="0"/>
        </c:dLbls>
        <c:axId val="110711168"/>
        <c:axId val="110713472"/>
      </c:scatterChart>
      <c:valAx>
        <c:axId val="110711168"/>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Quarters</a:t>
                </a:r>
              </a:p>
            </c:rich>
          </c:tx>
          <c:layout>
            <c:manualLayout>
              <c:xMode val="edge"/>
              <c:yMode val="edge"/>
              <c:x val="0.43270652862877668"/>
              <c:y val="0.929136239789000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0713472"/>
        <c:crosses val="autoZero"/>
        <c:crossBetween val="midCat"/>
      </c:valAx>
      <c:valAx>
        <c:axId val="110713472"/>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Demand</a:t>
                </a:r>
              </a:p>
            </c:rich>
          </c:tx>
          <c:layout>
            <c:manualLayout>
              <c:xMode val="edge"/>
              <c:yMode val="edge"/>
              <c:x val="7.2358951275715219E-3"/>
              <c:y val="0.46719279853797197"/>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0711168"/>
        <c:crosses val="autoZero"/>
        <c:crossBetween val="midCat"/>
      </c:valAx>
      <c:spPr>
        <a:solidFill>
          <a:srgbClr val="FFFF99"/>
        </a:solidFill>
        <a:ln w="12700">
          <a:solidFill>
            <a:srgbClr val="808080"/>
          </a:solidFill>
          <a:prstDash val="solid"/>
        </a:ln>
      </c:spPr>
    </c:plotArea>
    <c:legend>
      <c:legendPos val="r"/>
      <c:layout>
        <c:manualLayout>
          <c:xMode val="edge"/>
          <c:yMode val="edge"/>
          <c:x val="0.73082540788472372"/>
          <c:y val="2.099742914777402E-2"/>
          <c:w val="0.23010146505677423"/>
          <c:h val="0.16797943318219238"/>
        </c:manualLayout>
      </c:layout>
      <c:overlay val="0"/>
      <c:spPr>
        <a:solidFill>
          <a:srgbClr val="99CC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99CC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Tracking Signals</a:t>
            </a:r>
          </a:p>
        </c:rich>
      </c:tx>
      <c:layout>
        <c:manualLayout>
          <c:xMode val="edge"/>
          <c:yMode val="edge"/>
          <c:x val="6.0869629829345573E-2"/>
          <c:y val="9.1525575221092587E-2"/>
        </c:manualLayout>
      </c:layout>
      <c:overlay val="0"/>
      <c:spPr>
        <a:noFill/>
        <a:ln w="25400">
          <a:noFill/>
        </a:ln>
      </c:spPr>
    </c:title>
    <c:autoTitleDeleted val="0"/>
    <c:plotArea>
      <c:layout>
        <c:manualLayout>
          <c:layoutTarget val="inner"/>
          <c:xMode val="edge"/>
          <c:yMode val="edge"/>
          <c:x val="0.13478275176497936"/>
          <c:y val="0.23389869223168072"/>
          <c:w val="0.80869651058987702"/>
          <c:h val="0.623729845951149"/>
        </c:manualLayout>
      </c:layout>
      <c:scatterChart>
        <c:scatterStyle val="lineMarker"/>
        <c:varyColors val="0"/>
        <c:ser>
          <c:idx val="0"/>
          <c:order val="0"/>
          <c:tx>
            <c:v>Tracking Signals</c:v>
          </c:tx>
          <c:spPr>
            <a:ln w="25400">
              <a:solidFill>
                <a:srgbClr val="000080"/>
              </a:solidFill>
              <a:prstDash val="solid"/>
            </a:ln>
          </c:spPr>
          <c:marker>
            <c:symbol val="circle"/>
            <c:size val="5"/>
            <c:spPr>
              <a:solidFill>
                <a:srgbClr val="0000FF"/>
              </a:solidFill>
              <a:ln>
                <a:solidFill>
                  <a:srgbClr val="000000"/>
                </a:solidFill>
                <a:prstDash val="solid"/>
              </a:ln>
            </c:spPr>
          </c:marker>
          <c:xVal>
            <c:numRef>
              <c:f>'Exhibits 18.15'!$B$5:$B$10</c:f>
              <c:numCache>
                <c:formatCode>General</c:formatCode>
                <c:ptCount val="6"/>
                <c:pt idx="0">
                  <c:v>1</c:v>
                </c:pt>
                <c:pt idx="1">
                  <c:v>2</c:v>
                </c:pt>
                <c:pt idx="2">
                  <c:v>3</c:v>
                </c:pt>
                <c:pt idx="3">
                  <c:v>4</c:v>
                </c:pt>
                <c:pt idx="4">
                  <c:v>5</c:v>
                </c:pt>
                <c:pt idx="5">
                  <c:v>6</c:v>
                </c:pt>
              </c:numCache>
            </c:numRef>
          </c:xVal>
          <c:yVal>
            <c:numRef>
              <c:f>'Exhibits 18.15'!$J$5:$J$10</c:f>
              <c:numCache>
                <c:formatCode>0.00</c:formatCode>
                <c:ptCount val="6"/>
                <c:pt idx="0">
                  <c:v>-1</c:v>
                </c:pt>
                <c:pt idx="1">
                  <c:v>0.33333333333333331</c:v>
                </c:pt>
                <c:pt idx="2">
                  <c:v>1.6363636363636365</c:v>
                </c:pt>
                <c:pt idx="3" formatCode="0.0">
                  <c:v>1.2307692307692308</c:v>
                </c:pt>
                <c:pt idx="4" formatCode="0.0">
                  <c:v>2.4285714285714284</c:v>
                </c:pt>
                <c:pt idx="5" formatCode="0.0">
                  <c:v>3.3</c:v>
                </c:pt>
              </c:numCache>
            </c:numRef>
          </c:yVal>
          <c:smooth val="0"/>
        </c:ser>
        <c:ser>
          <c:idx val="2"/>
          <c:order val="1"/>
          <c:tx>
            <c:v>Ideal Tracking Signal</c:v>
          </c:tx>
          <c:spPr>
            <a:ln w="25400">
              <a:solidFill>
                <a:srgbClr val="FF0000"/>
              </a:solidFill>
              <a:prstDash val="sysDash"/>
            </a:ln>
          </c:spPr>
          <c:marker>
            <c:symbol val="none"/>
          </c:marker>
          <c:xVal>
            <c:numRef>
              <c:f>'Exhibits 18.15'!$D$17:$D$18</c:f>
              <c:numCache>
                <c:formatCode>General</c:formatCode>
                <c:ptCount val="2"/>
                <c:pt idx="0">
                  <c:v>0</c:v>
                </c:pt>
                <c:pt idx="1">
                  <c:v>7</c:v>
                </c:pt>
              </c:numCache>
            </c:numRef>
          </c:xVal>
          <c:yVal>
            <c:numLit>
              <c:formatCode>General</c:formatCode>
              <c:ptCount val="2"/>
              <c:pt idx="0">
                <c:v>0</c:v>
              </c:pt>
              <c:pt idx="1">
                <c:v>0</c:v>
              </c:pt>
            </c:numLit>
          </c:yVal>
          <c:smooth val="0"/>
        </c:ser>
        <c:dLbls>
          <c:showLegendKey val="0"/>
          <c:showVal val="0"/>
          <c:showCatName val="0"/>
          <c:showSerName val="0"/>
          <c:showPercent val="0"/>
          <c:showBubbleSize val="0"/>
        </c:dLbls>
        <c:axId val="110859392"/>
        <c:axId val="110861312"/>
      </c:scatterChart>
      <c:valAx>
        <c:axId val="110859392"/>
        <c:scaling>
          <c:orientation val="minMax"/>
          <c:max val="7"/>
        </c:scaling>
        <c:delete val="0"/>
        <c:axPos val="b"/>
        <c:title>
          <c:tx>
            <c:rich>
              <a:bodyPr/>
              <a:lstStyle/>
              <a:p>
                <a:pPr>
                  <a:defRPr sz="800" b="0" i="0" u="none" strike="noStrike" baseline="0">
                    <a:solidFill>
                      <a:srgbClr val="000000"/>
                    </a:solidFill>
                    <a:latin typeface="Arial"/>
                    <a:ea typeface="Arial"/>
                    <a:cs typeface="Arial"/>
                  </a:defRPr>
                </a:pPr>
                <a:r>
                  <a:rPr lang="en-US"/>
                  <a:t>Month</a:t>
                </a:r>
              </a:p>
            </c:rich>
          </c:tx>
          <c:layout>
            <c:manualLayout>
              <c:xMode val="edge"/>
              <c:yMode val="edge"/>
              <c:x val="0.50869619214524453"/>
              <c:y val="0.915255752210924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0861312"/>
        <c:crossesAt val="-5"/>
        <c:crossBetween val="midCat"/>
      </c:valAx>
      <c:valAx>
        <c:axId val="110861312"/>
        <c:scaling>
          <c:orientation val="minMax"/>
          <c:max val="5"/>
          <c:min val="-5"/>
        </c:scaling>
        <c:delete val="0"/>
        <c:axPos val="l"/>
        <c:title>
          <c:tx>
            <c:rich>
              <a:bodyPr/>
              <a:lstStyle/>
              <a:p>
                <a:pPr>
                  <a:defRPr sz="800" b="0" i="0" u="none" strike="noStrike" baseline="0">
                    <a:solidFill>
                      <a:srgbClr val="000000"/>
                    </a:solidFill>
                    <a:latin typeface="Arial"/>
                    <a:ea typeface="Arial"/>
                    <a:cs typeface="Arial"/>
                  </a:defRPr>
                </a:pPr>
                <a:r>
                  <a:rPr lang="en-US"/>
                  <a:t>Tracking Signal</a:t>
                </a:r>
              </a:p>
            </c:rich>
          </c:tx>
          <c:layout>
            <c:manualLayout>
              <c:xMode val="edge"/>
              <c:yMode val="edge"/>
              <c:x val="4.1304391669913031E-2"/>
              <c:y val="0.41694984267386581"/>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0859392"/>
        <c:crosses val="autoZero"/>
        <c:crossBetween val="midCat"/>
        <c:majorUnit val="1"/>
      </c:valAx>
      <c:spPr>
        <a:solidFill>
          <a:srgbClr val="FFFF99"/>
        </a:solidFill>
        <a:ln w="12700">
          <a:solidFill>
            <a:srgbClr val="808080"/>
          </a:solidFill>
          <a:prstDash val="solid"/>
        </a:ln>
      </c:spPr>
    </c:plotArea>
    <c:legend>
      <c:legendPos val="r"/>
      <c:layout>
        <c:manualLayout>
          <c:xMode val="edge"/>
          <c:yMode val="edge"/>
          <c:x val="0.65217460531441684"/>
          <c:y val="1.6949180596498616E-2"/>
          <c:w val="0.33913079476349667"/>
          <c:h val="0.20678000327728296"/>
        </c:manualLayout>
      </c:layout>
      <c:overlay val="0"/>
      <c:spPr>
        <a:solidFill>
          <a:srgbClr val="99CCFF"/>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99CC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2" l="1.25" r="1.25" t="2" header="0.5" footer="1.25"/>
    <c:pageSetup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Tracking Signals</a:t>
            </a:r>
          </a:p>
        </c:rich>
      </c:tx>
      <c:layout>
        <c:manualLayout>
          <c:xMode val="edge"/>
          <c:yMode val="edge"/>
          <c:x val="6.0869629829345573E-2"/>
          <c:y val="9.1525575221092587E-2"/>
        </c:manualLayout>
      </c:layout>
      <c:overlay val="0"/>
      <c:spPr>
        <a:noFill/>
        <a:ln w="25400">
          <a:noFill/>
        </a:ln>
      </c:spPr>
    </c:title>
    <c:autoTitleDeleted val="0"/>
    <c:plotArea>
      <c:layout>
        <c:manualLayout>
          <c:layoutTarget val="inner"/>
          <c:xMode val="edge"/>
          <c:yMode val="edge"/>
          <c:x val="0.13478275176497936"/>
          <c:y val="0.23389869223168072"/>
          <c:w val="0.80869651058987702"/>
          <c:h val="0.623729845951149"/>
        </c:manualLayout>
      </c:layout>
      <c:scatterChart>
        <c:scatterStyle val="lineMarker"/>
        <c:varyColors val="0"/>
        <c:ser>
          <c:idx val="0"/>
          <c:order val="0"/>
          <c:tx>
            <c:v>Tracking Signals</c:v>
          </c:tx>
          <c:spPr>
            <a:ln w="25400">
              <a:solidFill>
                <a:srgbClr val="000080"/>
              </a:solidFill>
              <a:prstDash val="solid"/>
            </a:ln>
          </c:spPr>
          <c:marker>
            <c:symbol val="circle"/>
            <c:size val="5"/>
            <c:spPr>
              <a:solidFill>
                <a:srgbClr val="0000FF"/>
              </a:solidFill>
              <a:ln>
                <a:solidFill>
                  <a:srgbClr val="000000"/>
                </a:solidFill>
                <a:prstDash val="solid"/>
              </a:ln>
            </c:spPr>
          </c:marker>
          <c:xVal>
            <c:numRef>
              <c:f>'Exhibits 18.15 alternative'!$B$5:$B$10</c:f>
              <c:numCache>
                <c:formatCode>General</c:formatCode>
                <c:ptCount val="6"/>
                <c:pt idx="0">
                  <c:v>1</c:v>
                </c:pt>
                <c:pt idx="1">
                  <c:v>2</c:v>
                </c:pt>
                <c:pt idx="2">
                  <c:v>3</c:v>
                </c:pt>
                <c:pt idx="3">
                  <c:v>4</c:v>
                </c:pt>
                <c:pt idx="4">
                  <c:v>5</c:v>
                </c:pt>
                <c:pt idx="5">
                  <c:v>6</c:v>
                </c:pt>
              </c:numCache>
            </c:numRef>
          </c:xVal>
          <c:yVal>
            <c:numRef>
              <c:f>'Exhibits 18.15 alternative'!$J$5:$J$10</c:f>
              <c:numCache>
                <c:formatCode>0.00</c:formatCode>
                <c:ptCount val="6"/>
                <c:pt idx="0">
                  <c:v>-1</c:v>
                </c:pt>
                <c:pt idx="1">
                  <c:v>0.33333333333333331</c:v>
                </c:pt>
                <c:pt idx="2">
                  <c:v>1.6363636363636365</c:v>
                </c:pt>
                <c:pt idx="3" formatCode="0.0">
                  <c:v>1.2307692307692308</c:v>
                </c:pt>
                <c:pt idx="4" formatCode="0.0">
                  <c:v>2.4285714285714284</c:v>
                </c:pt>
                <c:pt idx="5" formatCode="0.0">
                  <c:v>3.3</c:v>
                </c:pt>
              </c:numCache>
            </c:numRef>
          </c:yVal>
          <c:smooth val="0"/>
        </c:ser>
        <c:ser>
          <c:idx val="1"/>
          <c:order val="1"/>
          <c:tx>
            <c:v>Upper Control Limit</c:v>
          </c:tx>
          <c:spPr>
            <a:ln w="25400">
              <a:solidFill>
                <a:srgbClr val="FF0000"/>
              </a:solidFill>
              <a:prstDash val="sysDash"/>
            </a:ln>
          </c:spPr>
          <c:marker>
            <c:symbol val="none"/>
          </c:marker>
          <c:xVal>
            <c:numRef>
              <c:f>'Exhibits 18.15 alternative'!$D$20:$D$21</c:f>
              <c:numCache>
                <c:formatCode>General</c:formatCode>
                <c:ptCount val="2"/>
                <c:pt idx="0">
                  <c:v>0</c:v>
                </c:pt>
                <c:pt idx="1">
                  <c:v>7</c:v>
                </c:pt>
              </c:numCache>
            </c:numRef>
          </c:xVal>
          <c:yVal>
            <c:numRef>
              <c:f>'Exhibits 18.15 alternative'!$E$20:$E$21</c:f>
              <c:numCache>
                <c:formatCode>#,##0.000</c:formatCode>
                <c:ptCount val="2"/>
                <c:pt idx="0">
                  <c:v>2.3940000000000001</c:v>
                </c:pt>
                <c:pt idx="1">
                  <c:v>2.3940000000000001</c:v>
                </c:pt>
              </c:numCache>
            </c:numRef>
          </c:yVal>
          <c:smooth val="0"/>
        </c:ser>
        <c:ser>
          <c:idx val="2"/>
          <c:order val="2"/>
          <c:tx>
            <c:v>Lower Control Limits</c:v>
          </c:tx>
          <c:spPr>
            <a:ln w="25400">
              <a:solidFill>
                <a:srgbClr val="FF0000"/>
              </a:solidFill>
              <a:prstDash val="sysDash"/>
            </a:ln>
          </c:spPr>
          <c:marker>
            <c:symbol val="none"/>
          </c:marker>
          <c:xVal>
            <c:numRef>
              <c:f>'Exhibits 18.15 alternative'!$D$20:$D$21</c:f>
              <c:numCache>
                <c:formatCode>General</c:formatCode>
                <c:ptCount val="2"/>
                <c:pt idx="0">
                  <c:v>0</c:v>
                </c:pt>
                <c:pt idx="1">
                  <c:v>7</c:v>
                </c:pt>
              </c:numCache>
            </c:numRef>
          </c:xVal>
          <c:yVal>
            <c:numRef>
              <c:f>'Exhibits 18.15 alternative'!$F$20:$F$21</c:f>
              <c:numCache>
                <c:formatCode>#,##0.000</c:formatCode>
                <c:ptCount val="2"/>
                <c:pt idx="0">
                  <c:v>-2.3940000000000001</c:v>
                </c:pt>
                <c:pt idx="1">
                  <c:v>-2.3940000000000001</c:v>
                </c:pt>
              </c:numCache>
            </c:numRef>
          </c:yVal>
          <c:smooth val="0"/>
        </c:ser>
        <c:dLbls>
          <c:showLegendKey val="0"/>
          <c:showVal val="0"/>
          <c:showCatName val="0"/>
          <c:showSerName val="0"/>
          <c:showPercent val="0"/>
          <c:showBubbleSize val="0"/>
        </c:dLbls>
        <c:axId val="110879872"/>
        <c:axId val="110881792"/>
      </c:scatterChart>
      <c:valAx>
        <c:axId val="110879872"/>
        <c:scaling>
          <c:orientation val="minMax"/>
          <c:max val="7"/>
        </c:scaling>
        <c:delete val="0"/>
        <c:axPos val="b"/>
        <c:title>
          <c:tx>
            <c:rich>
              <a:bodyPr/>
              <a:lstStyle/>
              <a:p>
                <a:pPr>
                  <a:defRPr sz="800" b="0" i="0" u="none" strike="noStrike" baseline="0">
                    <a:solidFill>
                      <a:srgbClr val="000000"/>
                    </a:solidFill>
                    <a:latin typeface="Arial"/>
                    <a:ea typeface="Arial"/>
                    <a:cs typeface="Arial"/>
                  </a:defRPr>
                </a:pPr>
                <a:r>
                  <a:rPr lang="en-US"/>
                  <a:t>Month</a:t>
                </a:r>
              </a:p>
            </c:rich>
          </c:tx>
          <c:layout>
            <c:manualLayout>
              <c:xMode val="edge"/>
              <c:yMode val="edge"/>
              <c:x val="0.50869619214524453"/>
              <c:y val="0.915255752210924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0881792"/>
        <c:crossesAt val="-5"/>
        <c:crossBetween val="midCat"/>
      </c:valAx>
      <c:valAx>
        <c:axId val="110881792"/>
        <c:scaling>
          <c:orientation val="minMax"/>
          <c:max val="5"/>
          <c:min val="-5"/>
        </c:scaling>
        <c:delete val="0"/>
        <c:axPos val="l"/>
        <c:title>
          <c:tx>
            <c:rich>
              <a:bodyPr/>
              <a:lstStyle/>
              <a:p>
                <a:pPr>
                  <a:defRPr sz="800" b="0" i="0" u="none" strike="noStrike" baseline="0">
                    <a:solidFill>
                      <a:srgbClr val="000000"/>
                    </a:solidFill>
                    <a:latin typeface="Arial"/>
                    <a:ea typeface="Arial"/>
                    <a:cs typeface="Arial"/>
                  </a:defRPr>
                </a:pPr>
                <a:r>
                  <a:rPr lang="en-US"/>
                  <a:t>Tracking Signal</a:t>
                </a:r>
              </a:p>
            </c:rich>
          </c:tx>
          <c:layout>
            <c:manualLayout>
              <c:xMode val="edge"/>
              <c:yMode val="edge"/>
              <c:x val="4.1304391669913031E-2"/>
              <c:y val="0.41694984267386581"/>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0879872"/>
        <c:crosses val="autoZero"/>
        <c:crossBetween val="midCat"/>
        <c:majorUnit val="1"/>
      </c:valAx>
      <c:spPr>
        <a:solidFill>
          <a:srgbClr val="FFFF99"/>
        </a:solidFill>
        <a:ln w="12700">
          <a:solidFill>
            <a:srgbClr val="808080"/>
          </a:solidFill>
          <a:prstDash val="solid"/>
        </a:ln>
      </c:spPr>
    </c:plotArea>
    <c:legend>
      <c:legendPos val="r"/>
      <c:layout>
        <c:manualLayout>
          <c:xMode val="edge"/>
          <c:yMode val="edge"/>
          <c:x val="0.65217460531441684"/>
          <c:y val="1.6949180596498616E-2"/>
          <c:w val="0.33913079476349667"/>
          <c:h val="0.20678000327728296"/>
        </c:manualLayout>
      </c:layout>
      <c:overlay val="0"/>
      <c:spPr>
        <a:solidFill>
          <a:srgbClr val="99CCFF"/>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99CC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2" l="1.25" r="1.25" t="2" header="0.5" footer="1.25"/>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467248908296951"/>
          <c:y val="7.4404978158069901E-2"/>
          <c:w val="0.77729257641921434"/>
          <c:h val="0.73809738332805364"/>
        </c:manualLayout>
      </c:layout>
      <c:scatterChart>
        <c:scatterStyle val="smoothMarker"/>
        <c:varyColors val="0"/>
        <c:ser>
          <c:idx val="0"/>
          <c:order val="0"/>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inear"/>
            <c:dispRSqr val="0"/>
            <c:dispEq val="0"/>
          </c:trendline>
          <c:xVal>
            <c:numRef>
              <c:f>'Exhibit 18.16'!$C$5:$C$13</c:f>
              <c:numCache>
                <c:formatCode>General</c:formatCode>
                <c:ptCount val="9"/>
                <c:pt idx="0">
                  <c:v>18</c:v>
                </c:pt>
                <c:pt idx="1">
                  <c:v>15</c:v>
                </c:pt>
                <c:pt idx="2">
                  <c:v>12</c:v>
                </c:pt>
                <c:pt idx="3">
                  <c:v>10</c:v>
                </c:pt>
                <c:pt idx="4">
                  <c:v>20</c:v>
                </c:pt>
                <c:pt idx="5">
                  <c:v>28</c:v>
                </c:pt>
                <c:pt idx="6">
                  <c:v>35</c:v>
                </c:pt>
                <c:pt idx="7">
                  <c:v>30</c:v>
                </c:pt>
                <c:pt idx="8">
                  <c:v>20</c:v>
                </c:pt>
              </c:numCache>
            </c:numRef>
          </c:xVal>
          <c:yVal>
            <c:numRef>
              <c:f>'Exhibit 18.16'!$D$5:$D$13</c:f>
              <c:numCache>
                <c:formatCode>#,##0</c:formatCode>
                <c:ptCount val="9"/>
                <c:pt idx="0">
                  <c:v>13000</c:v>
                </c:pt>
                <c:pt idx="1">
                  <c:v>12000</c:v>
                </c:pt>
                <c:pt idx="2">
                  <c:v>11000</c:v>
                </c:pt>
                <c:pt idx="3">
                  <c:v>10000</c:v>
                </c:pt>
                <c:pt idx="4">
                  <c:v>14000</c:v>
                </c:pt>
                <c:pt idx="5">
                  <c:v>16000</c:v>
                </c:pt>
                <c:pt idx="6">
                  <c:v>19000</c:v>
                </c:pt>
                <c:pt idx="7">
                  <c:v>17000</c:v>
                </c:pt>
                <c:pt idx="8">
                  <c:v>13000</c:v>
                </c:pt>
              </c:numCache>
            </c:numRef>
          </c:yVal>
          <c:smooth val="1"/>
        </c:ser>
        <c:dLbls>
          <c:showLegendKey val="0"/>
          <c:showVal val="0"/>
          <c:showCatName val="0"/>
          <c:showSerName val="0"/>
          <c:showPercent val="0"/>
          <c:showBubbleSize val="0"/>
        </c:dLbls>
        <c:axId val="137258112"/>
        <c:axId val="137260032"/>
      </c:scatterChart>
      <c:valAx>
        <c:axId val="137258112"/>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Number of Housing Start Permits</a:t>
                </a:r>
              </a:p>
            </c:rich>
          </c:tx>
          <c:layout>
            <c:manualLayout>
              <c:xMode val="edge"/>
              <c:yMode val="edge"/>
              <c:x val="0.36026200873362446"/>
              <c:y val="0.892859737896838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7260032"/>
        <c:crosses val="autoZero"/>
        <c:crossBetween val="midCat"/>
      </c:valAx>
      <c:valAx>
        <c:axId val="137260032"/>
        <c:scaling>
          <c:orientation val="minMax"/>
        </c:scaling>
        <c:delete val="0"/>
        <c:axPos val="l"/>
        <c:title>
          <c:tx>
            <c:rich>
              <a:bodyPr/>
              <a:lstStyle/>
              <a:p>
                <a:pPr>
                  <a:defRPr sz="800" b="1" i="0" u="none" strike="noStrike" baseline="0">
                    <a:solidFill>
                      <a:srgbClr val="000000"/>
                    </a:solidFill>
                    <a:latin typeface="Arial"/>
                    <a:ea typeface="Arial"/>
                    <a:cs typeface="Arial"/>
                  </a:defRPr>
                </a:pPr>
                <a:r>
                  <a:rPr lang="en-US"/>
                  <a:t>Sales (sq. yrds.)</a:t>
                </a:r>
              </a:p>
            </c:rich>
          </c:tx>
          <c:layout>
            <c:manualLayout>
              <c:xMode val="edge"/>
              <c:yMode val="edge"/>
              <c:x val="3.4934497816593885E-2"/>
              <c:y val="0.30654851001124811"/>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7258112"/>
        <c:crosses val="autoZero"/>
        <c:crossBetween val="midCat"/>
      </c:valAx>
      <c:spPr>
        <a:solidFill>
          <a:srgbClr val="FFFF99"/>
        </a:solidFill>
        <a:ln w="12700">
          <a:solidFill>
            <a:srgbClr val="808080"/>
          </a:solidFill>
          <a:prstDash val="solid"/>
        </a:ln>
      </c:spPr>
    </c:plotArea>
    <c:plotVisOnly val="1"/>
    <c:dispBlanksAs val="gap"/>
    <c:showDLblsOverMax val="0"/>
  </c:chart>
  <c:spPr>
    <a:solidFill>
      <a:srgbClr val="99CC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129032258064521"/>
          <c:y val="7.162553704356342E-2"/>
          <c:w val="0.78937381404174578"/>
          <c:h val="0.74380365391392811"/>
        </c:manualLayout>
      </c:layout>
      <c:scatterChart>
        <c:scatterStyle val="lineMarker"/>
        <c:varyColors val="0"/>
        <c:ser>
          <c:idx val="0"/>
          <c:order val="0"/>
          <c:tx>
            <c:v>Actual Data</c:v>
          </c:tx>
          <c:spPr>
            <a:ln w="28575">
              <a:noFill/>
            </a:ln>
          </c:spPr>
          <c:marker>
            <c:symbol val="diamond"/>
            <c:size val="5"/>
            <c:spPr>
              <a:solidFill>
                <a:srgbClr val="000080"/>
              </a:solidFill>
              <a:ln>
                <a:solidFill>
                  <a:srgbClr val="000080"/>
                </a:solidFill>
                <a:prstDash val="solid"/>
              </a:ln>
            </c:spPr>
          </c:marker>
          <c:xVal>
            <c:numRef>
              <c:f>'Solved Problem 3'!$B$7:$B$18</c:f>
              <c:numCache>
                <c:formatCode>General</c:formatCode>
                <c:ptCount val="12"/>
                <c:pt idx="0">
                  <c:v>1</c:v>
                </c:pt>
                <c:pt idx="1">
                  <c:v>2</c:v>
                </c:pt>
                <c:pt idx="2">
                  <c:v>3</c:v>
                </c:pt>
                <c:pt idx="3">
                  <c:v>4</c:v>
                </c:pt>
                <c:pt idx="4">
                  <c:v>5</c:v>
                </c:pt>
                <c:pt idx="5">
                  <c:v>6</c:v>
                </c:pt>
                <c:pt idx="6">
                  <c:v>7</c:v>
                </c:pt>
                <c:pt idx="7">
                  <c:v>8</c:v>
                </c:pt>
              </c:numCache>
            </c:numRef>
          </c:xVal>
          <c:yVal>
            <c:numRef>
              <c:f>'Solved Problem 3'!$F$7:$F$18</c:f>
              <c:numCache>
                <c:formatCode>#,##0.0_)</c:formatCode>
                <c:ptCount val="12"/>
                <c:pt idx="0">
                  <c:v>568.99</c:v>
                </c:pt>
                <c:pt idx="1">
                  <c:v>564.09</c:v>
                </c:pt>
                <c:pt idx="2">
                  <c:v>578.91999999999996</c:v>
                </c:pt>
                <c:pt idx="3">
                  <c:v>587.79</c:v>
                </c:pt>
                <c:pt idx="4">
                  <c:v>789.01</c:v>
                </c:pt>
                <c:pt idx="5">
                  <c:v>793.91</c:v>
                </c:pt>
                <c:pt idx="6">
                  <c:v>779.08</c:v>
                </c:pt>
                <c:pt idx="7">
                  <c:v>770</c:v>
                </c:pt>
              </c:numCache>
            </c:numRef>
          </c:yVal>
          <c:smooth val="0"/>
        </c:ser>
        <c:ser>
          <c:idx val="1"/>
          <c:order val="1"/>
          <c:tx>
            <c:v>Trend Data</c:v>
          </c:tx>
          <c:spPr>
            <a:ln w="25400">
              <a:solidFill>
                <a:srgbClr val="FF0000"/>
              </a:solidFill>
              <a:prstDash val="solid"/>
            </a:ln>
          </c:spPr>
          <c:marker>
            <c:symbol val="none"/>
          </c:marker>
          <c:xVal>
            <c:numRef>
              <c:f>'Solved Problem 3'!$B$7:$B$18</c:f>
              <c:numCache>
                <c:formatCode>General</c:formatCode>
                <c:ptCount val="12"/>
                <c:pt idx="0">
                  <c:v>1</c:v>
                </c:pt>
                <c:pt idx="1">
                  <c:v>2</c:v>
                </c:pt>
                <c:pt idx="2">
                  <c:v>3</c:v>
                </c:pt>
                <c:pt idx="3">
                  <c:v>4</c:v>
                </c:pt>
                <c:pt idx="4">
                  <c:v>5</c:v>
                </c:pt>
                <c:pt idx="5">
                  <c:v>6</c:v>
                </c:pt>
                <c:pt idx="6">
                  <c:v>7</c:v>
                </c:pt>
                <c:pt idx="7">
                  <c:v>8</c:v>
                </c:pt>
              </c:numCache>
            </c:numRef>
          </c:xVal>
          <c:yVal>
            <c:numRef>
              <c:f>'Solved Problem 3'!$J$7:$J$18</c:f>
              <c:numCache>
                <c:formatCode>#,##0.0_)</c:formatCode>
                <c:ptCount val="12"/>
                <c:pt idx="0">
                  <c:v>540.2983333333334</c:v>
                </c:pt>
                <c:pt idx="1">
                  <c:v>579.91988095238094</c:v>
                </c:pt>
                <c:pt idx="2">
                  <c:v>619.54142857142858</c:v>
                </c:pt>
                <c:pt idx="3">
                  <c:v>659.16297619047623</c:v>
                </c:pt>
                <c:pt idx="4">
                  <c:v>698.78452380952376</c:v>
                </c:pt>
                <c:pt idx="5">
                  <c:v>738.40607142857141</c:v>
                </c:pt>
                <c:pt idx="6">
                  <c:v>778.02761904761905</c:v>
                </c:pt>
                <c:pt idx="7">
                  <c:v>817.64916666666659</c:v>
                </c:pt>
                <c:pt idx="8">
                  <c:v>0</c:v>
                </c:pt>
                <c:pt idx="9">
                  <c:v>0</c:v>
                </c:pt>
                <c:pt idx="10">
                  <c:v>0</c:v>
                </c:pt>
                <c:pt idx="11">
                  <c:v>0</c:v>
                </c:pt>
              </c:numCache>
            </c:numRef>
          </c:yVal>
          <c:smooth val="0"/>
        </c:ser>
        <c:dLbls>
          <c:showLegendKey val="0"/>
          <c:showVal val="0"/>
          <c:showCatName val="0"/>
          <c:showSerName val="0"/>
          <c:showPercent val="0"/>
          <c:showBubbleSize val="0"/>
        </c:dLbls>
        <c:axId val="137331072"/>
        <c:axId val="137332992"/>
      </c:scatterChart>
      <c:valAx>
        <c:axId val="137331072"/>
        <c:scaling>
          <c:orientation val="minMax"/>
        </c:scaling>
        <c:delete val="0"/>
        <c:axPos val="b"/>
        <c:title>
          <c:tx>
            <c:rich>
              <a:bodyPr/>
              <a:lstStyle/>
              <a:p>
                <a:pPr>
                  <a:defRPr sz="950" b="1" i="0" u="none" strike="noStrike" baseline="0">
                    <a:solidFill>
                      <a:srgbClr val="000000"/>
                    </a:solidFill>
                    <a:latin typeface="Arial"/>
                    <a:ea typeface="Arial"/>
                    <a:cs typeface="Arial"/>
                  </a:defRPr>
                </a:pPr>
                <a:r>
                  <a:rPr lang="en-US"/>
                  <a:t>Period</a:t>
                </a:r>
              </a:p>
            </c:rich>
          </c:tx>
          <c:layout>
            <c:manualLayout>
              <c:xMode val="edge"/>
              <c:yMode val="edge"/>
              <c:x val="0.51233396584440183"/>
              <c:y val="0.9008288697402013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137332992"/>
        <c:crosses val="autoZero"/>
        <c:crossBetween val="midCat"/>
      </c:valAx>
      <c:valAx>
        <c:axId val="137332992"/>
        <c:scaling>
          <c:orientation val="minMax"/>
        </c:scaling>
        <c:delete val="0"/>
        <c:axPos val="l"/>
        <c:title>
          <c:tx>
            <c:rich>
              <a:bodyPr/>
              <a:lstStyle/>
              <a:p>
                <a:pPr>
                  <a:defRPr sz="950" b="1" i="0" u="none" strike="noStrike" baseline="0">
                    <a:solidFill>
                      <a:srgbClr val="000000"/>
                    </a:solidFill>
                    <a:latin typeface="Arial"/>
                    <a:ea typeface="Arial"/>
                    <a:cs typeface="Arial"/>
                  </a:defRPr>
                </a:pPr>
                <a:r>
                  <a:rPr lang="en-US"/>
                  <a:t>Demand</a:t>
                </a:r>
              </a:p>
            </c:rich>
          </c:tx>
          <c:layout>
            <c:manualLayout>
              <c:xMode val="edge"/>
              <c:yMode val="edge"/>
              <c:x val="2.656546489563566E-2"/>
              <c:y val="0.36639217026130533"/>
            </c:manualLayout>
          </c:layout>
          <c:overlay val="0"/>
          <c:spPr>
            <a:noFill/>
            <a:ln w="25400">
              <a:noFill/>
            </a:ln>
          </c:spPr>
        </c:title>
        <c:numFmt formatCode="#,##0.0_)"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137331072"/>
        <c:crosses val="autoZero"/>
        <c:crossBetween val="midCat"/>
      </c:valAx>
      <c:spPr>
        <a:solidFill>
          <a:srgbClr val="FFFF99"/>
        </a:solidFill>
        <a:ln w="12700">
          <a:solidFill>
            <a:srgbClr val="808080"/>
          </a:solidFill>
          <a:prstDash val="solid"/>
        </a:ln>
      </c:spPr>
    </c:plotArea>
    <c:legend>
      <c:legendPos val="r"/>
      <c:layout>
        <c:manualLayout>
          <c:xMode val="edge"/>
          <c:yMode val="edge"/>
          <c:x val="0.74003795066413702"/>
          <c:y val="0.65840397513121751"/>
          <c:w val="0.17836812144212538"/>
          <c:h val="0.10743830556534507"/>
        </c:manualLayout>
      </c:layout>
      <c:overlay val="0"/>
      <c:spPr>
        <a:solidFill>
          <a:srgbClr val="FFFF99"/>
        </a:solidFill>
        <a:ln w="25400">
          <a:noFill/>
        </a:ln>
      </c:spPr>
      <c:txPr>
        <a:bodyPr/>
        <a:lstStyle/>
        <a:p>
          <a:pPr>
            <a:defRPr sz="78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99CC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c:printSettings>
</c:chartSpace>
</file>

<file path=xl/ctrlProps/ctrlProp1.xml><?xml version="1.0" encoding="utf-8"?>
<formControlPr xmlns="http://schemas.microsoft.com/office/spreadsheetml/2009/9/main" objectType="Spin" dx="15" fmlaLink="$E$5" inc="5" max="100" page="10" val="70"/>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85725</xdr:colOff>
      <xdr:row>4</xdr:row>
      <xdr:rowOff>152400</xdr:rowOff>
    </xdr:from>
    <xdr:to>
      <xdr:col>14</xdr:col>
      <xdr:colOff>581025</xdr:colOff>
      <xdr:row>28</xdr:row>
      <xdr:rowOff>19050</xdr:rowOff>
    </xdr:to>
    <xdr:graphicFrame macro="">
      <xdr:nvGraphicFramePr>
        <xdr:cNvPr id="102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152401</xdr:colOff>
      <xdr:row>1</xdr:row>
      <xdr:rowOff>142875</xdr:rowOff>
    </xdr:from>
    <xdr:to>
      <xdr:col>11</xdr:col>
      <xdr:colOff>19051</xdr:colOff>
      <xdr:row>3</xdr:row>
      <xdr:rowOff>76200</xdr:rowOff>
    </xdr:to>
    <xdr:sp macro="" textlink="">
      <xdr:nvSpPr>
        <xdr:cNvPr id="2" name="TextBox 1"/>
        <xdr:cNvSpPr txBox="1"/>
      </xdr:nvSpPr>
      <xdr:spPr>
        <a:xfrm>
          <a:off x="3467101" y="304800"/>
          <a:ext cx="2914650" cy="257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Enter the observed demand in the blue column.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57150</xdr:colOff>
      <xdr:row>20</xdr:row>
      <xdr:rowOff>28575</xdr:rowOff>
    </xdr:from>
    <xdr:to>
      <xdr:col>7</xdr:col>
      <xdr:colOff>0</xdr:colOff>
      <xdr:row>41</xdr:row>
      <xdr:rowOff>142875</xdr:rowOff>
    </xdr:to>
    <xdr:graphicFrame macro="">
      <xdr:nvGraphicFramePr>
        <xdr:cNvPr id="2252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95250</xdr:colOff>
      <xdr:row>0</xdr:row>
      <xdr:rowOff>85726</xdr:rowOff>
    </xdr:from>
    <xdr:to>
      <xdr:col>15</xdr:col>
      <xdr:colOff>381000</xdr:colOff>
      <xdr:row>2</xdr:row>
      <xdr:rowOff>9526</xdr:rowOff>
    </xdr:to>
    <xdr:sp macro="" textlink="">
      <xdr:nvSpPr>
        <xdr:cNvPr id="2" name="TextBox 1"/>
        <xdr:cNvSpPr txBox="1"/>
      </xdr:nvSpPr>
      <xdr:spPr>
        <a:xfrm>
          <a:off x="6667500" y="85726"/>
          <a:ext cx="33337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aseline="0">
              <a:latin typeface="Arial" pitchFamily="34" charset="0"/>
              <a:cs typeface="Arial" pitchFamily="34" charset="0"/>
            </a:rPr>
            <a:t>Enter your actual amounts in the blue area in column C.</a:t>
          </a:r>
          <a:endParaRPr lang="en-US" sz="1000">
            <a:latin typeface="Arial" pitchFamily="34" charset="0"/>
            <a:cs typeface="Arial"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314325</xdr:colOff>
      <xdr:row>4</xdr:row>
      <xdr:rowOff>0</xdr:rowOff>
    </xdr:from>
    <xdr:to>
      <xdr:col>7</xdr:col>
      <xdr:colOff>561975</xdr:colOff>
      <xdr:row>15</xdr:row>
      <xdr:rowOff>19050</xdr:rowOff>
    </xdr:to>
    <xdr:sp macro="" textlink="">
      <xdr:nvSpPr>
        <xdr:cNvPr id="2" name="TextBox 1"/>
        <xdr:cNvSpPr txBox="1"/>
      </xdr:nvSpPr>
      <xdr:spPr>
        <a:xfrm>
          <a:off x="2524125" y="714375"/>
          <a:ext cx="2143125" cy="1800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Arial" pitchFamily="34" charset="0"/>
              <a:cs typeface="Arial" pitchFamily="34" charset="0"/>
            </a:rPr>
            <a:t>To evaluate the accuracy</a:t>
          </a:r>
          <a:r>
            <a:rPr lang="en-US" sz="1000" baseline="0">
              <a:latin typeface="Arial" pitchFamily="34" charset="0"/>
              <a:cs typeface="Arial" pitchFamily="34" charset="0"/>
            </a:rPr>
            <a:t> of your forecasts, enter the period, the actual values, and your forecasted values in the table at the left.  The spreadsheet will calculate the MAD, tracking signal, and MAPE for your forecast.</a:t>
          </a:r>
          <a:endParaRPr lang="en-US" sz="1000">
            <a:latin typeface="Arial" pitchFamily="34" charset="0"/>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561975</xdr:colOff>
      <xdr:row>26</xdr:row>
      <xdr:rowOff>57150</xdr:rowOff>
    </xdr:from>
    <xdr:to>
      <xdr:col>8</xdr:col>
      <xdr:colOff>180975</xdr:colOff>
      <xdr:row>44</xdr:row>
      <xdr:rowOff>133350</xdr:rowOff>
    </xdr:to>
    <xdr:graphicFrame macro="">
      <xdr:nvGraphicFramePr>
        <xdr:cNvPr id="2355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523875</xdr:colOff>
      <xdr:row>2</xdr:row>
      <xdr:rowOff>57151</xdr:rowOff>
    </xdr:from>
    <xdr:to>
      <xdr:col>10</xdr:col>
      <xdr:colOff>523875</xdr:colOff>
      <xdr:row>6</xdr:row>
      <xdr:rowOff>9525</xdr:rowOff>
    </xdr:to>
    <xdr:sp macro="" textlink="">
      <xdr:nvSpPr>
        <xdr:cNvPr id="2" name="TextBox 1"/>
        <xdr:cNvSpPr txBox="1"/>
      </xdr:nvSpPr>
      <xdr:spPr>
        <a:xfrm>
          <a:off x="5181600" y="381001"/>
          <a:ext cx="1828800" cy="676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Enter the period</a:t>
          </a:r>
          <a:r>
            <a:rPr lang="en-US" sz="1100" baseline="0"/>
            <a:t> and the observed values in the blue cells in columns B and C.</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200025</xdr:colOff>
      <xdr:row>5</xdr:row>
      <xdr:rowOff>28575</xdr:rowOff>
    </xdr:from>
    <xdr:to>
      <xdr:col>16</xdr:col>
      <xdr:colOff>600075</xdr:colOff>
      <xdr:row>26</xdr:row>
      <xdr:rowOff>85725</xdr:rowOff>
    </xdr:to>
    <xdr:graphicFrame macro="">
      <xdr:nvGraphicFramePr>
        <xdr:cNvPr id="4123"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4</xdr:col>
          <xdr:colOff>200025</xdr:colOff>
          <xdr:row>4</xdr:row>
          <xdr:rowOff>47625</xdr:rowOff>
        </xdr:from>
        <xdr:to>
          <xdr:col>4</xdr:col>
          <xdr:colOff>428625</xdr:colOff>
          <xdr:row>6</xdr:row>
          <xdr:rowOff>123825</xdr:rowOff>
        </xdr:to>
        <xdr:sp macro="" textlink="">
          <xdr:nvSpPr>
            <xdr:cNvPr id="4097" name="Spinner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xdr:twoCellAnchor>
    <xdr:from>
      <xdr:col>7</xdr:col>
      <xdr:colOff>209550</xdr:colOff>
      <xdr:row>1</xdr:row>
      <xdr:rowOff>123825</xdr:rowOff>
    </xdr:from>
    <xdr:to>
      <xdr:col>14</xdr:col>
      <xdr:colOff>285750</xdr:colOff>
      <xdr:row>3</xdr:row>
      <xdr:rowOff>228600</xdr:rowOff>
    </xdr:to>
    <xdr:sp macro="" textlink="">
      <xdr:nvSpPr>
        <xdr:cNvPr id="2" name="TextBox 1"/>
        <xdr:cNvSpPr txBox="1"/>
      </xdr:nvSpPr>
      <xdr:spPr>
        <a:xfrm>
          <a:off x="4362450" y="285750"/>
          <a:ext cx="4343400" cy="428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aseline="0">
              <a:latin typeface="Arial" pitchFamily="34" charset="0"/>
              <a:cs typeface="Arial" pitchFamily="34" charset="0"/>
            </a:rPr>
            <a:t>The index can be changed by entering a new value in the blue cell or using the arrow buttons beneat the box to change the value.</a:t>
          </a:r>
          <a:endParaRPr lang="en-US" sz="10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16</xdr:row>
      <xdr:rowOff>28575</xdr:rowOff>
    </xdr:from>
    <xdr:to>
      <xdr:col>8</xdr:col>
      <xdr:colOff>581025</xdr:colOff>
      <xdr:row>34</xdr:row>
      <xdr:rowOff>57150</xdr:rowOff>
    </xdr:to>
    <xdr:graphicFrame macro="">
      <xdr:nvGraphicFramePr>
        <xdr:cNvPr id="51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542925</xdr:colOff>
      <xdr:row>25</xdr:row>
      <xdr:rowOff>152400</xdr:rowOff>
    </xdr:from>
    <xdr:to>
      <xdr:col>9</xdr:col>
      <xdr:colOff>247650</xdr:colOff>
      <xdr:row>48</xdr:row>
      <xdr:rowOff>57150</xdr:rowOff>
    </xdr:to>
    <xdr:graphicFrame macro="">
      <xdr:nvGraphicFramePr>
        <xdr:cNvPr id="716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0.39405</cdr:x>
      <cdr:y>0.39118</cdr:y>
    </cdr:from>
    <cdr:to>
      <cdr:x>0.49409</cdr:x>
      <cdr:y>0.49927</cdr:y>
    </cdr:to>
    <cdr:sp macro="" textlink="">
      <cdr:nvSpPr>
        <cdr:cNvPr id="8193" name="Line 1"/>
        <cdr:cNvSpPr>
          <a:spLocks xmlns:a="http://schemas.openxmlformats.org/drawingml/2006/main" noChangeShapeType="1"/>
        </cdr:cNvSpPr>
      </cdr:nvSpPr>
      <cdr:spPr bwMode="auto">
        <a:xfrm xmlns:a="http://schemas.openxmlformats.org/drawingml/2006/main">
          <a:off x="2600500" y="1426486"/>
          <a:ext cx="659349" cy="393307"/>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userShapes>
</file>

<file path=xl/drawings/drawing7.xml><?xml version="1.0" encoding="utf-8"?>
<xdr:wsDr xmlns:xdr="http://schemas.openxmlformats.org/drawingml/2006/spreadsheetDrawing" xmlns:a="http://schemas.openxmlformats.org/drawingml/2006/main">
  <xdr:twoCellAnchor>
    <xdr:from>
      <xdr:col>1</xdr:col>
      <xdr:colOff>323850</xdr:colOff>
      <xdr:row>15</xdr:row>
      <xdr:rowOff>142875</xdr:rowOff>
    </xdr:from>
    <xdr:to>
      <xdr:col>7</xdr:col>
      <xdr:colOff>600075</xdr:colOff>
      <xdr:row>33</xdr:row>
      <xdr:rowOff>38100</xdr:rowOff>
    </xdr:to>
    <xdr:graphicFrame macro="">
      <xdr:nvGraphicFramePr>
        <xdr:cNvPr id="2051"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323850</xdr:colOff>
      <xdr:row>18</xdr:row>
      <xdr:rowOff>142875</xdr:rowOff>
    </xdr:from>
    <xdr:to>
      <xdr:col>7</xdr:col>
      <xdr:colOff>600075</xdr:colOff>
      <xdr:row>36</xdr:row>
      <xdr:rowOff>38100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542925</xdr:colOff>
      <xdr:row>15</xdr:row>
      <xdr:rowOff>47625</xdr:rowOff>
    </xdr:from>
    <xdr:to>
      <xdr:col>4</xdr:col>
      <xdr:colOff>1009650</xdr:colOff>
      <xdr:row>34</xdr:row>
      <xdr:rowOff>114300</xdr:rowOff>
    </xdr:to>
    <xdr:graphicFrame macro="">
      <xdr:nvGraphicFramePr>
        <xdr:cNvPr id="2150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50.0.5\BA%20380\BA380\Interactive%20Models\Time%20Series%20_%20Interactiv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ving Average"/>
      <sheetName val="Exponential"/>
      <sheetName val="Linear Model"/>
      <sheetName val="TrendAdjusted"/>
    </sheetNames>
    <sheetDataSet>
      <sheetData sheetId="0" refreshError="1"/>
      <sheetData sheetId="1" refreshError="1"/>
      <sheetData sheetId="2" refreshError="1">
        <row r="6">
          <cell r="AH6">
            <v>1</v>
          </cell>
          <cell r="AI6">
            <v>0</v>
          </cell>
        </row>
        <row r="8">
          <cell r="C8">
            <v>1</v>
          </cell>
          <cell r="D8">
            <v>220</v>
          </cell>
          <cell r="AX8">
            <v>0.1</v>
          </cell>
        </row>
        <row r="9">
          <cell r="C9">
            <v>2</v>
          </cell>
          <cell r="D9">
            <v>245</v>
          </cell>
          <cell r="AH9">
            <v>2</v>
          </cell>
          <cell r="AI9">
            <v>0</v>
          </cell>
          <cell r="AX9">
            <v>0.92968642711639404</v>
          </cell>
        </row>
        <row r="10">
          <cell r="C10">
            <v>3</v>
          </cell>
          <cell r="D10">
            <v>280</v>
          </cell>
          <cell r="AX10">
            <v>0.9</v>
          </cell>
        </row>
        <row r="11">
          <cell r="C11">
            <v>4</v>
          </cell>
          <cell r="D11">
            <v>275</v>
          </cell>
          <cell r="AX11">
            <v>0.01</v>
          </cell>
        </row>
        <row r="12">
          <cell r="C12">
            <v>5</v>
          </cell>
          <cell r="D12">
            <v>300</v>
          </cell>
          <cell r="AX12">
            <v>10313</v>
          </cell>
        </row>
        <row r="13">
          <cell r="C13">
            <v>6</v>
          </cell>
          <cell r="D13">
            <v>310</v>
          </cell>
          <cell r="AH13">
            <v>1</v>
          </cell>
          <cell r="AI13">
            <v>0</v>
          </cell>
        </row>
        <row r="14">
          <cell r="C14">
            <v>7</v>
          </cell>
          <cell r="D14">
            <v>350</v>
          </cell>
          <cell r="AX14">
            <v>205907.20339388491</v>
          </cell>
        </row>
        <row r="15">
          <cell r="C15">
            <v>8</v>
          </cell>
          <cell r="D15">
            <v>360</v>
          </cell>
          <cell r="AX15">
            <v>187374.79660611509</v>
          </cell>
        </row>
        <row r="16">
          <cell r="C16">
            <v>9</v>
          </cell>
          <cell r="D16">
            <v>350</v>
          </cell>
        </row>
        <row r="17">
          <cell r="C17">
            <v>10</v>
          </cell>
          <cell r="D17">
            <v>380</v>
          </cell>
        </row>
        <row r="18">
          <cell r="C18">
            <v>11</v>
          </cell>
          <cell r="D18">
            <v>420</v>
          </cell>
        </row>
        <row r="19">
          <cell r="C19">
            <v>12</v>
          </cell>
          <cell r="D19">
            <v>450</v>
          </cell>
          <cell r="AH19">
            <v>205.21568627450981</v>
          </cell>
          <cell r="AI19">
            <v>0</v>
          </cell>
        </row>
        <row r="20">
          <cell r="C20">
            <v>13</v>
          </cell>
          <cell r="D20">
            <v>460</v>
          </cell>
        </row>
        <row r="21">
          <cell r="C21">
            <v>14</v>
          </cell>
          <cell r="D21">
            <v>475</v>
          </cell>
          <cell r="AH21">
            <v>19.047471620227039</v>
          </cell>
          <cell r="AI21">
            <v>0</v>
          </cell>
        </row>
        <row r="22">
          <cell r="C22">
            <v>15</v>
          </cell>
          <cell r="D22">
            <v>500</v>
          </cell>
        </row>
        <row r="23">
          <cell r="C23">
            <v>16</v>
          </cell>
          <cell r="D23">
            <v>510</v>
          </cell>
          <cell r="AH23">
            <v>0.99420003627556197</v>
          </cell>
          <cell r="BC23">
            <v>205.21568627450981</v>
          </cell>
        </row>
        <row r="24">
          <cell r="C24">
            <v>17</v>
          </cell>
          <cell r="D24">
            <v>525</v>
          </cell>
          <cell r="BC24">
            <v>19.047471620227039</v>
          </cell>
        </row>
        <row r="25">
          <cell r="C25">
            <v>18</v>
          </cell>
          <cell r="D25">
            <v>541</v>
          </cell>
          <cell r="AH25">
            <v>0.98843371213032871</v>
          </cell>
          <cell r="BC25">
            <v>9228.5</v>
          </cell>
        </row>
        <row r="26">
          <cell r="BC26">
            <v>484.5</v>
          </cell>
        </row>
        <row r="27">
          <cell r="AH27">
            <v>19.047471620227039</v>
          </cell>
          <cell r="BC27">
            <v>177836.5</v>
          </cell>
        </row>
        <row r="30">
          <cell r="AH30">
            <v>0.98843371213032871</v>
          </cell>
        </row>
        <row r="34">
          <cell r="AH34" t="str">
            <v>0.0000</v>
          </cell>
          <cell r="BB34">
            <v>1</v>
          </cell>
          <cell r="BC34">
            <v>220</v>
          </cell>
          <cell r="BD34">
            <v>1</v>
          </cell>
          <cell r="BE34">
            <v>48400</v>
          </cell>
          <cell r="BF34">
            <v>220</v>
          </cell>
          <cell r="BG34">
            <v>386.16666666666669</v>
          </cell>
        </row>
        <row r="35">
          <cell r="BB35">
            <v>2</v>
          </cell>
          <cell r="BC35">
            <v>245</v>
          </cell>
          <cell r="BD35">
            <v>4</v>
          </cell>
          <cell r="BE35">
            <v>60025</v>
          </cell>
          <cell r="BF35">
            <v>490</v>
          </cell>
          <cell r="BG35">
            <v>386.16666666666669</v>
          </cell>
          <cell r="BL35" t="str">
            <v>SUMMARY OUTPUT</v>
          </cell>
        </row>
        <row r="36">
          <cell r="AH36">
            <v>1</v>
          </cell>
          <cell r="BB36">
            <v>3</v>
          </cell>
          <cell r="BC36">
            <v>280</v>
          </cell>
          <cell r="BD36">
            <v>9</v>
          </cell>
          <cell r="BE36">
            <v>78400</v>
          </cell>
          <cell r="BF36">
            <v>840</v>
          </cell>
          <cell r="BG36">
            <v>386.16666666666669</v>
          </cell>
        </row>
        <row r="37">
          <cell r="BB37">
            <v>4</v>
          </cell>
          <cell r="BC37">
            <v>275</v>
          </cell>
          <cell r="BD37">
            <v>16</v>
          </cell>
          <cell r="BE37">
            <v>75625</v>
          </cell>
          <cell r="BF37">
            <v>1100</v>
          </cell>
          <cell r="BG37">
            <v>386.16666666666669</v>
          </cell>
          <cell r="BL37" t="str">
            <v>Regression Statistics</v>
          </cell>
        </row>
        <row r="38">
          <cell r="AH38">
            <v>1367.3306053150229</v>
          </cell>
          <cell r="BB38">
            <v>5</v>
          </cell>
          <cell r="BC38">
            <v>300</v>
          </cell>
          <cell r="BD38">
            <v>25</v>
          </cell>
          <cell r="BE38">
            <v>90000</v>
          </cell>
          <cell r="BF38">
            <v>1500</v>
          </cell>
          <cell r="BG38">
            <v>386.16666666666669</v>
          </cell>
          <cell r="BL38" t="str">
            <v>Multiple R</v>
          </cell>
          <cell r="BM38">
            <v>0.99420003627556197</v>
          </cell>
        </row>
        <row r="39">
          <cell r="BB39">
            <v>6</v>
          </cell>
          <cell r="BC39">
            <v>310</v>
          </cell>
          <cell r="BD39">
            <v>36</v>
          </cell>
          <cell r="BE39">
            <v>96100</v>
          </cell>
          <cell r="BF39">
            <v>1860</v>
          </cell>
          <cell r="BG39">
            <v>386.16666666666669</v>
          </cell>
          <cell r="BL39" t="str">
            <v>R Square</v>
          </cell>
          <cell r="BM39">
            <v>0.98843371213032871</v>
          </cell>
        </row>
        <row r="40">
          <cell r="AH40">
            <v>3.0481146495731082</v>
          </cell>
          <cell r="BB40">
            <v>7</v>
          </cell>
          <cell r="BC40">
            <v>350</v>
          </cell>
          <cell r="BD40">
            <v>49</v>
          </cell>
          <cell r="BE40">
            <v>122500</v>
          </cell>
          <cell r="BF40">
            <v>2450</v>
          </cell>
          <cell r="BG40">
            <v>386.16666666666669</v>
          </cell>
          <cell r="BL40" t="str">
            <v>Standard Error</v>
          </cell>
          <cell r="BM40">
            <v>11.338287328601412</v>
          </cell>
        </row>
        <row r="41">
          <cell r="BB41">
            <v>8</v>
          </cell>
          <cell r="BC41">
            <v>360</v>
          </cell>
          <cell r="BD41">
            <v>64</v>
          </cell>
          <cell r="BE41">
            <v>129600</v>
          </cell>
          <cell r="BF41">
            <v>2880</v>
          </cell>
          <cell r="BG41">
            <v>386.16666666666669</v>
          </cell>
          <cell r="BL41" t="str">
            <v>Observations</v>
          </cell>
          <cell r="BM41">
            <v>18</v>
          </cell>
        </row>
        <row r="42">
          <cell r="AH42">
            <v>196641</v>
          </cell>
          <cell r="BB42">
            <v>9</v>
          </cell>
          <cell r="BC42">
            <v>350</v>
          </cell>
          <cell r="BD42">
            <v>81</v>
          </cell>
          <cell r="BE42">
            <v>122500</v>
          </cell>
          <cell r="BF42">
            <v>3150</v>
          </cell>
          <cell r="BG42">
            <v>386.16666666666669</v>
          </cell>
        </row>
        <row r="43">
          <cell r="BB43">
            <v>10</v>
          </cell>
          <cell r="BC43">
            <v>380</v>
          </cell>
          <cell r="BD43">
            <v>100</v>
          </cell>
          <cell r="BE43">
            <v>144400</v>
          </cell>
          <cell r="BF43">
            <v>3800</v>
          </cell>
          <cell r="BG43">
            <v>386.16666666666669</v>
          </cell>
        </row>
        <row r="44">
          <cell r="BB44">
            <v>11</v>
          </cell>
          <cell r="BC44">
            <v>420</v>
          </cell>
          <cell r="BD44">
            <v>121</v>
          </cell>
          <cell r="BE44">
            <v>176400</v>
          </cell>
          <cell r="BF44">
            <v>4620</v>
          </cell>
          <cell r="BG44">
            <v>386.16666666666669</v>
          </cell>
          <cell r="BL44" t="str">
            <v>ANOVA</v>
          </cell>
        </row>
        <row r="45">
          <cell r="AH45">
            <v>187374.79660611509</v>
          </cell>
          <cell r="BB45">
            <v>12</v>
          </cell>
          <cell r="BC45">
            <v>450</v>
          </cell>
          <cell r="BD45">
            <v>144</v>
          </cell>
          <cell r="BE45">
            <v>202500</v>
          </cell>
          <cell r="BF45">
            <v>5400</v>
          </cell>
          <cell r="BG45">
            <v>386.16666666666669</v>
          </cell>
          <cell r="BL45" t="str">
            <v>Source of Variation</v>
          </cell>
          <cell r="BM45" t="str">
            <v>Sum Of Squares</v>
          </cell>
          <cell r="BN45" t="str">
            <v>df</v>
          </cell>
          <cell r="BO45" t="str">
            <v>MS</v>
          </cell>
          <cell r="BP45" t="str">
            <v>F</v>
          </cell>
          <cell r="BQ45" t="str">
            <v>significance f</v>
          </cell>
          <cell r="BR45" t="str">
            <v>critical_f</v>
          </cell>
        </row>
        <row r="46">
          <cell r="BB46">
            <v>13</v>
          </cell>
          <cell r="BC46">
            <v>460</v>
          </cell>
          <cell r="BD46">
            <v>169</v>
          </cell>
          <cell r="BE46">
            <v>211600</v>
          </cell>
          <cell r="BF46">
            <v>5980</v>
          </cell>
          <cell r="BG46">
            <v>386.16666666666669</v>
          </cell>
          <cell r="BL46" t="str">
            <v>Regression</v>
          </cell>
          <cell r="BM46">
            <v>175779.59184726523</v>
          </cell>
          <cell r="BN46">
            <v>1</v>
          </cell>
          <cell r="BO46">
            <v>175779.59184726523</v>
          </cell>
          <cell r="BP46">
            <v>1367.3306053150229</v>
          </cell>
          <cell r="BQ46" t="str">
            <v>0.0000</v>
          </cell>
          <cell r="BR46">
            <v>3.0481146495731082</v>
          </cell>
        </row>
        <row r="47">
          <cell r="BB47">
            <v>14</v>
          </cell>
          <cell r="BC47">
            <v>475</v>
          </cell>
          <cell r="BD47">
            <v>196</v>
          </cell>
          <cell r="BE47">
            <v>225625</v>
          </cell>
          <cell r="BF47">
            <v>6650</v>
          </cell>
          <cell r="BG47">
            <v>386.16666666666669</v>
          </cell>
          <cell r="BL47" t="str">
            <v>Error</v>
          </cell>
          <cell r="BM47">
            <v>2056.9081527347735</v>
          </cell>
          <cell r="BN47">
            <v>16</v>
          </cell>
          <cell r="BO47">
            <v>128.55675954592334</v>
          </cell>
        </row>
        <row r="48">
          <cell r="BB48">
            <v>15</v>
          </cell>
          <cell r="BC48">
            <v>500</v>
          </cell>
          <cell r="BD48">
            <v>225</v>
          </cell>
          <cell r="BE48">
            <v>250000</v>
          </cell>
          <cell r="BF48">
            <v>7500</v>
          </cell>
          <cell r="BG48">
            <v>386.16666666666669</v>
          </cell>
          <cell r="BL48" t="str">
            <v>Total</v>
          </cell>
          <cell r="BM48">
            <v>177836.5</v>
          </cell>
          <cell r="BN48">
            <v>17</v>
          </cell>
        </row>
        <row r="49">
          <cell r="BB49">
            <v>16</v>
          </cell>
          <cell r="BC49">
            <v>510</v>
          </cell>
          <cell r="BD49">
            <v>256</v>
          </cell>
          <cell r="BE49">
            <v>260100</v>
          </cell>
          <cell r="BF49">
            <v>8160</v>
          </cell>
          <cell r="BG49">
            <v>386.16666666666669</v>
          </cell>
        </row>
        <row r="50">
          <cell r="AH50">
            <v>205907.20339388491</v>
          </cell>
          <cell r="BB50">
            <v>17</v>
          </cell>
          <cell r="BC50">
            <v>525</v>
          </cell>
          <cell r="BD50">
            <v>289</v>
          </cell>
          <cell r="BE50">
            <v>275625</v>
          </cell>
          <cell r="BF50">
            <v>8925</v>
          </cell>
          <cell r="BG50">
            <v>386.16666666666669</v>
          </cell>
          <cell r="BM50" t="str">
            <v>Coefficients</v>
          </cell>
          <cell r="BN50" t="str">
            <v>Standard Error</v>
          </cell>
          <cell r="BO50" t="str">
            <v>t Stat</v>
          </cell>
          <cell r="BP50" t="str">
            <v>P-value</v>
          </cell>
          <cell r="BQ50" t="str">
            <v>Lower Limit</v>
          </cell>
          <cell r="BR50" t="str">
            <v>Upper Limit</v>
          </cell>
        </row>
        <row r="51">
          <cell r="BB51">
            <v>18</v>
          </cell>
          <cell r="BC51">
            <v>541</v>
          </cell>
          <cell r="BD51">
            <v>324</v>
          </cell>
          <cell r="BE51">
            <v>292681</v>
          </cell>
          <cell r="BF51">
            <v>9738</v>
          </cell>
          <cell r="BG51">
            <v>386.16666666666669</v>
          </cell>
          <cell r="BL51" t="str">
            <v>Intercept</v>
          </cell>
          <cell r="BM51">
            <v>205.21568627450981</v>
          </cell>
          <cell r="BN51">
            <v>5.5757411671806683</v>
          </cell>
          <cell r="BO51">
            <v>36.805095523879132</v>
          </cell>
          <cell r="BP51">
            <v>6.8076891997943559E-17</v>
          </cell>
          <cell r="BQ51">
            <v>195.48108775917342</v>
          </cell>
          <cell r="BR51">
            <v>214.95028478984619</v>
          </cell>
        </row>
        <row r="52">
          <cell r="BB52" t="str">
            <v/>
          </cell>
          <cell r="BC52" t="str">
            <v/>
          </cell>
          <cell r="BD52" t="str">
            <v/>
          </cell>
          <cell r="BE52" t="str">
            <v/>
          </cell>
          <cell r="BF52" t="str">
            <v/>
          </cell>
          <cell r="BG52" t="str">
            <v/>
          </cell>
          <cell r="BL52" t="str">
            <v>Advertising Exp</v>
          </cell>
          <cell r="BM52">
            <v>19.047471620227039</v>
          </cell>
          <cell r="BN52">
            <v>0.51511069586114577</v>
          </cell>
          <cell r="BO52">
            <v>36.977433730790771</v>
          </cell>
          <cell r="BP52">
            <v>6.3225881135349097E-17</v>
          </cell>
          <cell r="BQ52">
            <v>18.148147985069976</v>
          </cell>
          <cell r="BR52">
            <v>19.946795255384103</v>
          </cell>
        </row>
        <row r="53">
          <cell r="BB53" t="str">
            <v/>
          </cell>
          <cell r="BC53" t="str">
            <v/>
          </cell>
          <cell r="BD53" t="str">
            <v/>
          </cell>
          <cell r="BE53" t="str">
            <v/>
          </cell>
          <cell r="BF53" t="str">
            <v/>
          </cell>
          <cell r="BG53" t="str">
            <v/>
          </cell>
        </row>
        <row r="54">
          <cell r="AH54">
            <v>18.148147985069976</v>
          </cell>
          <cell r="BB54" t="str">
            <v/>
          </cell>
          <cell r="BC54" t="str">
            <v/>
          </cell>
          <cell r="BD54" t="str">
            <v/>
          </cell>
          <cell r="BE54" t="str">
            <v/>
          </cell>
          <cell r="BF54" t="str">
            <v/>
          </cell>
          <cell r="BG54" t="str">
            <v/>
          </cell>
        </row>
        <row r="55">
          <cell r="BB55" t="str">
            <v/>
          </cell>
          <cell r="BC55" t="str">
            <v/>
          </cell>
          <cell r="BD55" t="str">
            <v/>
          </cell>
          <cell r="BE55" t="str">
            <v/>
          </cell>
          <cell r="BF55" t="str">
            <v/>
          </cell>
          <cell r="BG55" t="str">
            <v/>
          </cell>
          <cell r="BL55" t="str">
            <v>90% Prediction Interval Estimate</v>
          </cell>
        </row>
        <row r="56">
          <cell r="BB56" t="str">
            <v/>
          </cell>
          <cell r="BC56" t="str">
            <v/>
          </cell>
          <cell r="BD56" t="str">
            <v/>
          </cell>
          <cell r="BE56" t="str">
            <v/>
          </cell>
          <cell r="BF56" t="str">
            <v/>
          </cell>
          <cell r="BG56" t="str">
            <v/>
          </cell>
          <cell r="BL56" t="str">
            <v xml:space="preserve">   Upper Limit</v>
          </cell>
          <cell r="BM56">
            <v>205907.20339388491</v>
          </cell>
        </row>
        <row r="57">
          <cell r="AH57">
            <v>19.946795255384103</v>
          </cell>
          <cell r="BB57" t="str">
            <v/>
          </cell>
          <cell r="BC57" t="str">
            <v/>
          </cell>
          <cell r="BD57" t="str">
            <v/>
          </cell>
          <cell r="BE57" t="str">
            <v/>
          </cell>
          <cell r="BF57" t="str">
            <v/>
          </cell>
          <cell r="BG57" t="str">
            <v/>
          </cell>
          <cell r="BL57" t="str">
            <v xml:space="preserve">   Lower Limit</v>
          </cell>
          <cell r="BM57">
            <v>187374.79660611509</v>
          </cell>
        </row>
        <row r="58">
          <cell r="BB58" t="str">
            <v/>
          </cell>
          <cell r="BC58" t="str">
            <v/>
          </cell>
          <cell r="BD58" t="str">
            <v/>
          </cell>
          <cell r="BE58" t="str">
            <v/>
          </cell>
          <cell r="BF58" t="str">
            <v/>
          </cell>
          <cell r="BG58" t="str">
            <v/>
          </cell>
        </row>
        <row r="59">
          <cell r="BB59" t="str">
            <v/>
          </cell>
          <cell r="BC59" t="str">
            <v/>
          </cell>
          <cell r="BD59" t="str">
            <v/>
          </cell>
          <cell r="BE59" t="str">
            <v/>
          </cell>
          <cell r="BF59" t="str">
            <v/>
          </cell>
          <cell r="BG59" t="str">
            <v/>
          </cell>
        </row>
        <row r="60">
          <cell r="BB60" t="str">
            <v/>
          </cell>
          <cell r="BC60" t="str">
            <v/>
          </cell>
          <cell r="BD60" t="str">
            <v/>
          </cell>
          <cell r="BE60" t="str">
            <v/>
          </cell>
          <cell r="BF60" t="str">
            <v/>
          </cell>
          <cell r="BG60" t="str">
            <v/>
          </cell>
        </row>
        <row r="61">
          <cell r="AH61">
            <v>205</v>
          </cell>
          <cell r="BB61" t="str">
            <v/>
          </cell>
          <cell r="BC61" t="str">
            <v/>
          </cell>
          <cell r="BD61" t="str">
            <v/>
          </cell>
          <cell r="BE61" t="str">
            <v/>
          </cell>
          <cell r="BF61" t="str">
            <v/>
          </cell>
          <cell r="BG61" t="str">
            <v/>
          </cell>
        </row>
        <row r="62">
          <cell r="BB62" t="str">
            <v/>
          </cell>
          <cell r="BC62" t="str">
            <v/>
          </cell>
          <cell r="BD62" t="str">
            <v/>
          </cell>
          <cell r="BE62" t="str">
            <v/>
          </cell>
          <cell r="BF62" t="str">
            <v/>
          </cell>
          <cell r="BG62" t="str">
            <v/>
          </cell>
        </row>
        <row r="63">
          <cell r="BB63" t="str">
            <v/>
          </cell>
          <cell r="BC63" t="str">
            <v/>
          </cell>
          <cell r="BD63" t="str">
            <v/>
          </cell>
          <cell r="BE63" t="str">
            <v/>
          </cell>
          <cell r="BF63" t="str">
            <v/>
          </cell>
          <cell r="BG63" t="str">
            <v/>
          </cell>
        </row>
        <row r="64">
          <cell r="BB64" t="str">
            <v/>
          </cell>
          <cell r="BC64" t="str">
            <v/>
          </cell>
          <cell r="BD64" t="str">
            <v/>
          </cell>
          <cell r="BE64" t="str">
            <v/>
          </cell>
          <cell r="BF64" t="str">
            <v/>
          </cell>
          <cell r="BG64" t="str">
            <v/>
          </cell>
        </row>
        <row r="65">
          <cell r="BB65" t="str">
            <v/>
          </cell>
          <cell r="BC65" t="str">
            <v/>
          </cell>
          <cell r="BD65" t="str">
            <v/>
          </cell>
          <cell r="BE65" t="str">
            <v/>
          </cell>
          <cell r="BF65" t="str">
            <v/>
          </cell>
          <cell r="BG65" t="str">
            <v/>
          </cell>
        </row>
        <row r="66">
          <cell r="BB66" t="str">
            <v/>
          </cell>
          <cell r="BC66" t="str">
            <v/>
          </cell>
          <cell r="BD66" t="str">
            <v/>
          </cell>
          <cell r="BE66" t="str">
            <v/>
          </cell>
          <cell r="BF66" t="str">
            <v/>
          </cell>
          <cell r="BG66" t="str">
            <v/>
          </cell>
        </row>
        <row r="67">
          <cell r="BB67" t="str">
            <v/>
          </cell>
          <cell r="BC67" t="str">
            <v/>
          </cell>
          <cell r="BD67" t="str">
            <v/>
          </cell>
          <cell r="BE67" t="str">
            <v/>
          </cell>
          <cell r="BF67" t="str">
            <v/>
          </cell>
          <cell r="BG67" t="str">
            <v/>
          </cell>
        </row>
        <row r="68">
          <cell r="BB68" t="str">
            <v/>
          </cell>
          <cell r="BC68" t="str">
            <v/>
          </cell>
          <cell r="BD68" t="str">
            <v/>
          </cell>
          <cell r="BE68" t="str">
            <v/>
          </cell>
          <cell r="BF68" t="str">
            <v/>
          </cell>
          <cell r="BG68" t="str">
            <v/>
          </cell>
        </row>
        <row r="69">
          <cell r="BB69" t="str">
            <v/>
          </cell>
          <cell r="BC69" t="str">
            <v/>
          </cell>
          <cell r="BD69" t="str">
            <v/>
          </cell>
          <cell r="BE69" t="str">
            <v/>
          </cell>
          <cell r="BF69" t="str">
            <v/>
          </cell>
          <cell r="BG69" t="str">
            <v/>
          </cell>
        </row>
        <row r="70">
          <cell r="BB70" t="str">
            <v/>
          </cell>
          <cell r="BC70" t="str">
            <v/>
          </cell>
          <cell r="BD70" t="str">
            <v/>
          </cell>
          <cell r="BE70" t="str">
            <v/>
          </cell>
          <cell r="BF70" t="str">
            <v/>
          </cell>
          <cell r="BG70" t="str">
            <v/>
          </cell>
        </row>
        <row r="71">
          <cell r="BB71" t="str">
            <v/>
          </cell>
          <cell r="BC71" t="str">
            <v/>
          </cell>
          <cell r="BD71" t="str">
            <v/>
          </cell>
          <cell r="BE71" t="str">
            <v/>
          </cell>
          <cell r="BF71" t="str">
            <v/>
          </cell>
          <cell r="BG71" t="str">
            <v/>
          </cell>
        </row>
        <row r="72">
          <cell r="BB72" t="str">
            <v/>
          </cell>
          <cell r="BC72" t="str">
            <v/>
          </cell>
          <cell r="BD72" t="str">
            <v/>
          </cell>
          <cell r="BE72" t="str">
            <v/>
          </cell>
          <cell r="BF72" t="str">
            <v/>
          </cell>
          <cell r="BG72" t="str">
            <v/>
          </cell>
        </row>
        <row r="73">
          <cell r="BB73" t="str">
            <v/>
          </cell>
          <cell r="BC73" t="str">
            <v/>
          </cell>
          <cell r="BD73" t="str">
            <v/>
          </cell>
          <cell r="BE73" t="str">
            <v/>
          </cell>
          <cell r="BF73" t="str">
            <v/>
          </cell>
          <cell r="BG73" t="str">
            <v/>
          </cell>
        </row>
        <row r="74">
          <cell r="BB74" t="str">
            <v/>
          </cell>
          <cell r="BC74" t="str">
            <v/>
          </cell>
          <cell r="BD74" t="str">
            <v/>
          </cell>
          <cell r="BE74" t="str">
            <v/>
          </cell>
          <cell r="BF74" t="str">
            <v/>
          </cell>
          <cell r="BG74" t="str">
            <v/>
          </cell>
        </row>
        <row r="75">
          <cell r="BB75" t="str">
            <v/>
          </cell>
          <cell r="BC75" t="str">
            <v/>
          </cell>
          <cell r="BD75" t="str">
            <v/>
          </cell>
          <cell r="BE75" t="str">
            <v/>
          </cell>
          <cell r="BF75" t="str">
            <v/>
          </cell>
          <cell r="BG75" t="str">
            <v/>
          </cell>
        </row>
        <row r="76">
          <cell r="BB76" t="str">
            <v/>
          </cell>
          <cell r="BC76" t="str">
            <v/>
          </cell>
          <cell r="BD76" t="str">
            <v/>
          </cell>
          <cell r="BE76" t="str">
            <v/>
          </cell>
          <cell r="BF76" t="str">
            <v/>
          </cell>
          <cell r="BG76" t="str">
            <v/>
          </cell>
        </row>
      </sheetData>
      <sheetData sheetId="3" refreshError="1">
        <row r="8">
          <cell r="B8">
            <v>1</v>
          </cell>
          <cell r="C8">
            <v>210</v>
          </cell>
          <cell r="D8" t="str">
            <v/>
          </cell>
        </row>
        <row r="9">
          <cell r="B9">
            <v>2</v>
          </cell>
          <cell r="C9">
            <v>224</v>
          </cell>
          <cell r="D9" t="str">
            <v/>
          </cell>
        </row>
        <row r="10">
          <cell r="B10">
            <v>3</v>
          </cell>
          <cell r="C10">
            <v>229</v>
          </cell>
          <cell r="D10" t="str">
            <v/>
          </cell>
        </row>
        <row r="11">
          <cell r="B11">
            <v>4</v>
          </cell>
          <cell r="C11">
            <v>240</v>
          </cell>
          <cell r="D11" t="str">
            <v/>
          </cell>
        </row>
        <row r="12">
          <cell r="B12">
            <v>5</v>
          </cell>
          <cell r="C12">
            <v>255</v>
          </cell>
          <cell r="D12">
            <v>250</v>
          </cell>
        </row>
        <row r="13">
          <cell r="B13">
            <v>6</v>
          </cell>
          <cell r="C13">
            <v>265</v>
          </cell>
          <cell r="D13">
            <v>260.89999999999998</v>
          </cell>
        </row>
        <row r="14">
          <cell r="B14">
            <v>7</v>
          </cell>
          <cell r="C14">
            <v>272</v>
          </cell>
          <cell r="D14">
            <v>271.96199999999999</v>
          </cell>
        </row>
        <row r="15">
          <cell r="B15">
            <v>8</v>
          </cell>
          <cell r="C15">
            <v>285</v>
          </cell>
          <cell r="D15">
            <v>282.55851999999999</v>
          </cell>
        </row>
        <row r="16">
          <cell r="B16">
            <v>9</v>
          </cell>
          <cell r="C16">
            <v>294</v>
          </cell>
          <cell r="D16">
            <v>293.5901288</v>
          </cell>
        </row>
        <row r="17">
          <cell r="B17">
            <v>10</v>
          </cell>
          <cell r="C17">
            <v>210</v>
          </cell>
          <cell r="D17">
            <v>304.41425592000002</v>
          </cell>
        </row>
        <row r="18">
          <cell r="B18">
            <v>11</v>
          </cell>
          <cell r="C18">
            <v>224</v>
          </cell>
          <cell r="D18">
            <v>298.19659981216</v>
          </cell>
        </row>
        <row r="19">
          <cell r="B19">
            <v>12</v>
          </cell>
          <cell r="C19">
            <v>229</v>
          </cell>
          <cell r="D19">
            <v>289.50007802011521</v>
          </cell>
        </row>
        <row r="20">
          <cell r="B20">
            <v>13</v>
          </cell>
          <cell r="C20">
            <v>240</v>
          </cell>
          <cell r="D20">
            <v>278.46099048281053</v>
          </cell>
        </row>
        <row r="21">
          <cell r="B21">
            <v>14</v>
          </cell>
          <cell r="C21">
            <v>255</v>
          </cell>
          <cell r="D21">
            <v>267.46853364651719</v>
          </cell>
        </row>
        <row r="22">
          <cell r="B22">
            <v>15</v>
          </cell>
          <cell r="C22">
            <v>265</v>
          </cell>
          <cell r="D22">
            <v>258.66244685747057</v>
          </cell>
        </row>
        <row r="23">
          <cell r="B23">
            <v>16</v>
          </cell>
          <cell r="C23">
            <v>272</v>
          </cell>
          <cell r="D23">
            <v>252.43349471015799</v>
          </cell>
        </row>
        <row r="24">
          <cell r="B24">
            <v>17</v>
          </cell>
          <cell r="C24">
            <v>285</v>
          </cell>
          <cell r="D24">
            <v>248.99642739299759</v>
          </cell>
        </row>
        <row r="25">
          <cell r="B25">
            <v>18</v>
          </cell>
          <cell r="C25">
            <v>294</v>
          </cell>
          <cell r="D25">
            <v>249.78594173570781</v>
          </cell>
        </row>
        <row r="26">
          <cell r="B26">
            <v>19</v>
          </cell>
          <cell r="C26">
            <v>210</v>
          </cell>
          <cell r="D26">
            <v>254.38637500166396</v>
          </cell>
        </row>
        <row r="27">
          <cell r="B27">
            <v>20</v>
          </cell>
          <cell r="C27">
            <v>224</v>
          </cell>
          <cell r="D27">
            <v>245.90380125527412</v>
          </cell>
        </row>
        <row r="28">
          <cell r="B28">
            <v>21</v>
          </cell>
          <cell r="C28">
            <v>210</v>
          </cell>
          <cell r="D28">
            <v>238.59185368312663</v>
          </cell>
        </row>
        <row r="29">
          <cell r="B29">
            <v>22</v>
          </cell>
          <cell r="C29">
            <v>224</v>
          </cell>
          <cell r="D29">
            <v>228.65669035262394</v>
          </cell>
        </row>
        <row r="30">
          <cell r="B30">
            <v>23</v>
          </cell>
          <cell r="C30">
            <v>229</v>
          </cell>
          <cell r="D30">
            <v>221.17710430294511</v>
          </cell>
        </row>
        <row r="31">
          <cell r="B31">
            <v>24</v>
          </cell>
          <cell r="C31">
            <v>240</v>
          </cell>
          <cell r="D31">
            <v>215.64209020735845</v>
          </cell>
        </row>
        <row r="32">
          <cell r="B32">
            <v>25</v>
          </cell>
          <cell r="C32">
            <v>255</v>
          </cell>
          <cell r="D32">
            <v>213.59030229014655</v>
          </cell>
        </row>
        <row r="33">
          <cell r="B33">
            <v>26</v>
          </cell>
          <cell r="C33">
            <v>265</v>
          </cell>
          <cell r="D33">
            <v>216.18622875259598</v>
          </cell>
        </row>
        <row r="34">
          <cell r="B34">
            <v>27</v>
          </cell>
          <cell r="C34">
            <v>272</v>
          </cell>
          <cell r="D34">
            <v>222.79823686340302</v>
          </cell>
        </row>
        <row r="35">
          <cell r="B35">
            <v>28</v>
          </cell>
          <cell r="C35">
            <v>285</v>
          </cell>
          <cell r="D35">
            <v>232.64321589109656</v>
          </cell>
        </row>
        <row r="36">
          <cell r="B36">
            <v>29</v>
          </cell>
          <cell r="C36">
            <v>294</v>
          </cell>
          <cell r="D36">
            <v>246.24437294505674</v>
          </cell>
        </row>
        <row r="55">
          <cell r="D55">
            <v>18</v>
          </cell>
        </row>
        <row r="56">
          <cell r="D56">
            <v>36</v>
          </cell>
        </row>
        <row r="57">
          <cell r="D57">
            <v>11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35"/>
  <sheetViews>
    <sheetView showGridLines="0" tabSelected="1" workbookViewId="0"/>
  </sheetViews>
  <sheetFormatPr defaultRowHeight="12.75" x14ac:dyDescent="0.2"/>
  <cols>
    <col min="1" max="1" width="6.42578125" style="51" customWidth="1"/>
    <col min="2" max="2" width="6.7109375" style="51" customWidth="1"/>
    <col min="3" max="16384" width="9.140625" style="51"/>
  </cols>
  <sheetData>
    <row r="1" spans="1:6" s="48" customFormat="1" x14ac:dyDescent="0.2"/>
    <row r="2" spans="1:6" s="49" customFormat="1" x14ac:dyDescent="0.2">
      <c r="A2" s="48"/>
      <c r="B2" s="19" t="s">
        <v>152</v>
      </c>
    </row>
    <row r="3" spans="1:6" s="49" customFormat="1" x14ac:dyDescent="0.2">
      <c r="A3" s="48"/>
      <c r="B3" s="19"/>
    </row>
    <row r="4" spans="1:6" ht="27.75" customHeight="1" thickBot="1" x14ac:dyDescent="0.25">
      <c r="A4" s="49"/>
      <c r="B4" s="49"/>
      <c r="C4" s="49"/>
      <c r="D4" s="149" t="s">
        <v>4</v>
      </c>
      <c r="E4" s="149"/>
      <c r="F4" s="50"/>
    </row>
    <row r="5" spans="1:6" ht="13.5" thickBot="1" x14ac:dyDescent="0.25">
      <c r="B5" s="57" t="s">
        <v>0</v>
      </c>
      <c r="C5" s="57" t="s">
        <v>1</v>
      </c>
      <c r="D5" s="57" t="s">
        <v>2</v>
      </c>
      <c r="E5" s="57" t="s">
        <v>3</v>
      </c>
      <c r="F5" s="52"/>
    </row>
    <row r="6" spans="1:6" x14ac:dyDescent="0.2">
      <c r="B6" s="53">
        <v>1</v>
      </c>
      <c r="C6" s="144">
        <v>800</v>
      </c>
      <c r="D6" s="53"/>
      <c r="E6" s="53"/>
      <c r="F6" s="53"/>
    </row>
    <row r="7" spans="1:6" x14ac:dyDescent="0.2">
      <c r="B7" s="53">
        <v>2</v>
      </c>
      <c r="C7" s="144">
        <v>1400</v>
      </c>
      <c r="D7" s="53"/>
      <c r="E7" s="53"/>
      <c r="F7" s="53"/>
    </row>
    <row r="8" spans="1:6" x14ac:dyDescent="0.2">
      <c r="B8" s="53">
        <v>3</v>
      </c>
      <c r="C8" s="144">
        <v>1000</v>
      </c>
      <c r="D8" s="53"/>
      <c r="E8" s="53"/>
      <c r="F8" s="53"/>
    </row>
    <row r="9" spans="1:6" x14ac:dyDescent="0.2">
      <c r="B9" s="53">
        <v>4</v>
      </c>
      <c r="C9" s="144">
        <v>1500</v>
      </c>
      <c r="D9" s="54">
        <f>AVERAGE(C6:C8)</f>
        <v>1066.6666666666667</v>
      </c>
      <c r="E9" s="54"/>
      <c r="F9" s="54"/>
    </row>
    <row r="10" spans="1:6" x14ac:dyDescent="0.2">
      <c r="B10" s="53">
        <v>5</v>
      </c>
      <c r="C10" s="144">
        <v>1500</v>
      </c>
      <c r="D10" s="54">
        <f t="shared" ref="D10:D20" si="0">AVERAGE(C7:C9)</f>
        <v>1300</v>
      </c>
      <c r="E10" s="54"/>
      <c r="F10" s="54"/>
    </row>
    <row r="11" spans="1:6" x14ac:dyDescent="0.2">
      <c r="B11" s="53">
        <v>6</v>
      </c>
      <c r="C11" s="144">
        <v>1300</v>
      </c>
      <c r="D11" s="54">
        <f t="shared" si="0"/>
        <v>1333.3333333333333</v>
      </c>
      <c r="E11" s="54"/>
      <c r="F11" s="54"/>
    </row>
    <row r="12" spans="1:6" x14ac:dyDescent="0.2">
      <c r="B12" s="53">
        <v>7</v>
      </c>
      <c r="C12" s="144">
        <v>1800</v>
      </c>
      <c r="D12" s="54">
        <f t="shared" si="0"/>
        <v>1433.3333333333333</v>
      </c>
      <c r="E12" s="54"/>
      <c r="F12" s="54"/>
    </row>
    <row r="13" spans="1:6" x14ac:dyDescent="0.2">
      <c r="B13" s="53">
        <v>8</v>
      </c>
      <c r="C13" s="144">
        <v>1700</v>
      </c>
      <c r="D13" s="54">
        <f t="shared" si="0"/>
        <v>1533.3333333333333</v>
      </c>
      <c r="E13" s="54"/>
      <c r="F13" s="54"/>
    </row>
    <row r="14" spans="1:6" x14ac:dyDescent="0.2">
      <c r="B14" s="53">
        <v>9</v>
      </c>
      <c r="C14" s="144">
        <v>1300</v>
      </c>
      <c r="D14" s="54">
        <f t="shared" si="0"/>
        <v>1600</v>
      </c>
      <c r="E14" s="54"/>
      <c r="F14" s="54"/>
    </row>
    <row r="15" spans="1:6" x14ac:dyDescent="0.2">
      <c r="B15" s="53">
        <v>10</v>
      </c>
      <c r="C15" s="144">
        <v>1700</v>
      </c>
      <c r="D15" s="54">
        <f t="shared" si="0"/>
        <v>1600</v>
      </c>
      <c r="E15" s="54">
        <f t="shared" ref="E15:E20" si="1">AVERAGE(C6:C14)</f>
        <v>1366.6666666666667</v>
      </c>
      <c r="F15" s="54"/>
    </row>
    <row r="16" spans="1:6" x14ac:dyDescent="0.2">
      <c r="B16" s="53">
        <v>11</v>
      </c>
      <c r="C16" s="144">
        <v>1700</v>
      </c>
      <c r="D16" s="54">
        <f t="shared" si="0"/>
        <v>1566.6666666666667</v>
      </c>
      <c r="E16" s="54">
        <f t="shared" si="1"/>
        <v>1466.6666666666667</v>
      </c>
      <c r="F16" s="54"/>
    </row>
    <row r="17" spans="2:6" x14ac:dyDescent="0.2">
      <c r="B17" s="53">
        <v>12</v>
      </c>
      <c r="C17" s="144">
        <v>1500</v>
      </c>
      <c r="D17" s="54">
        <f t="shared" si="0"/>
        <v>1566.6666666666667</v>
      </c>
      <c r="E17" s="54">
        <f t="shared" si="1"/>
        <v>1500</v>
      </c>
      <c r="F17" s="54"/>
    </row>
    <row r="18" spans="2:6" x14ac:dyDescent="0.2">
      <c r="B18" s="53">
        <v>13</v>
      </c>
      <c r="C18" s="144">
        <v>2300</v>
      </c>
      <c r="D18" s="54">
        <f t="shared" si="0"/>
        <v>1633.3333333333333</v>
      </c>
      <c r="E18" s="54">
        <f t="shared" si="1"/>
        <v>1555.5555555555557</v>
      </c>
      <c r="F18" s="54"/>
    </row>
    <row r="19" spans="2:6" x14ac:dyDescent="0.2">
      <c r="B19" s="53">
        <v>14</v>
      </c>
      <c r="C19" s="144">
        <v>2300</v>
      </c>
      <c r="D19" s="54">
        <f t="shared" si="0"/>
        <v>1833.3333333333333</v>
      </c>
      <c r="E19" s="54">
        <f t="shared" si="1"/>
        <v>1644.4444444444443</v>
      </c>
      <c r="F19" s="54"/>
    </row>
    <row r="20" spans="2:6" x14ac:dyDescent="0.2">
      <c r="B20" s="55">
        <v>15</v>
      </c>
      <c r="C20" s="145">
        <v>2000</v>
      </c>
      <c r="D20" s="56">
        <f t="shared" si="0"/>
        <v>2033.3333333333333</v>
      </c>
      <c r="E20" s="56">
        <f t="shared" si="1"/>
        <v>1733.3333333333333</v>
      </c>
      <c r="F20" s="56"/>
    </row>
    <row r="21" spans="2:6" x14ac:dyDescent="0.2">
      <c r="B21" s="53">
        <v>16</v>
      </c>
      <c r="C21" s="144">
        <v>1700</v>
      </c>
      <c r="D21" s="56">
        <f t="shared" ref="D21:D35" si="2">AVERAGE(C18:C20)</f>
        <v>2200</v>
      </c>
      <c r="E21" s="56">
        <f t="shared" ref="E21:E35" si="3">AVERAGE(C12:C20)</f>
        <v>1811.1111111111111</v>
      </c>
      <c r="F21" s="56"/>
    </row>
    <row r="22" spans="2:6" x14ac:dyDescent="0.2">
      <c r="B22" s="53">
        <v>17</v>
      </c>
      <c r="C22" s="144">
        <v>1800</v>
      </c>
      <c r="D22" s="56">
        <f t="shared" si="2"/>
        <v>2000</v>
      </c>
      <c r="E22" s="56">
        <f t="shared" si="3"/>
        <v>1800</v>
      </c>
      <c r="F22" s="56"/>
    </row>
    <row r="23" spans="2:6" x14ac:dyDescent="0.2">
      <c r="B23" s="53">
        <v>18</v>
      </c>
      <c r="C23" s="144">
        <v>2200</v>
      </c>
      <c r="D23" s="56">
        <f t="shared" si="2"/>
        <v>1833.3333333333333</v>
      </c>
      <c r="E23" s="56">
        <f t="shared" si="3"/>
        <v>1811.1111111111111</v>
      </c>
      <c r="F23" s="56"/>
    </row>
    <row r="24" spans="2:6" x14ac:dyDescent="0.2">
      <c r="B24" s="53">
        <v>19</v>
      </c>
      <c r="C24" s="144">
        <v>1900</v>
      </c>
      <c r="D24" s="56">
        <f t="shared" si="2"/>
        <v>1900</v>
      </c>
      <c r="E24" s="56">
        <f t="shared" si="3"/>
        <v>1911.1111111111111</v>
      </c>
      <c r="F24" s="56"/>
    </row>
    <row r="25" spans="2:6" x14ac:dyDescent="0.2">
      <c r="B25" s="53">
        <v>20</v>
      </c>
      <c r="C25" s="144">
        <v>2400</v>
      </c>
      <c r="D25" s="56">
        <f t="shared" si="2"/>
        <v>1966.6666666666667</v>
      </c>
      <c r="E25" s="56">
        <f t="shared" si="3"/>
        <v>1933.3333333333333</v>
      </c>
      <c r="F25" s="56"/>
    </row>
    <row r="26" spans="2:6" x14ac:dyDescent="0.2">
      <c r="B26" s="53">
        <v>21</v>
      </c>
      <c r="C26" s="144">
        <v>2400</v>
      </c>
      <c r="D26" s="56">
        <f t="shared" si="2"/>
        <v>2166.6666666666665</v>
      </c>
      <c r="E26" s="56">
        <f t="shared" si="3"/>
        <v>2011.1111111111111</v>
      </c>
      <c r="F26" s="56"/>
    </row>
    <row r="27" spans="2:6" x14ac:dyDescent="0.2">
      <c r="B27" s="53">
        <v>22</v>
      </c>
      <c r="C27" s="144">
        <v>2600</v>
      </c>
      <c r="D27" s="56">
        <f t="shared" si="2"/>
        <v>2233.3333333333335</v>
      </c>
      <c r="E27" s="56">
        <f t="shared" si="3"/>
        <v>2111.1111111111113</v>
      </c>
      <c r="F27" s="56"/>
    </row>
    <row r="28" spans="2:6" x14ac:dyDescent="0.2">
      <c r="B28" s="53">
        <v>23</v>
      </c>
      <c r="C28" s="144">
        <v>2000</v>
      </c>
      <c r="D28" s="56">
        <f t="shared" si="2"/>
        <v>2466.6666666666665</v>
      </c>
      <c r="E28" s="56">
        <f t="shared" si="3"/>
        <v>2144.4444444444443</v>
      </c>
      <c r="F28" s="56"/>
    </row>
    <row r="29" spans="2:6" x14ac:dyDescent="0.2">
      <c r="B29" s="53">
        <v>24</v>
      </c>
      <c r="C29" s="144">
        <v>2500</v>
      </c>
      <c r="D29" s="56">
        <f t="shared" si="2"/>
        <v>2333.3333333333335</v>
      </c>
      <c r="E29" s="56">
        <f t="shared" si="3"/>
        <v>2111.1111111111113</v>
      </c>
      <c r="F29" s="56"/>
    </row>
    <row r="30" spans="2:6" x14ac:dyDescent="0.2">
      <c r="B30" s="53">
        <v>25</v>
      </c>
      <c r="C30" s="144">
        <v>2600</v>
      </c>
      <c r="D30" s="56">
        <f t="shared" si="2"/>
        <v>2366.6666666666665</v>
      </c>
      <c r="E30" s="56">
        <f t="shared" si="3"/>
        <v>2166.6666666666665</v>
      </c>
      <c r="F30" s="56"/>
    </row>
    <row r="31" spans="2:6" x14ac:dyDescent="0.2">
      <c r="B31" s="53">
        <v>26</v>
      </c>
      <c r="C31" s="144">
        <v>2200</v>
      </c>
      <c r="D31" s="56">
        <f t="shared" si="2"/>
        <v>2366.6666666666665</v>
      </c>
      <c r="E31" s="56">
        <f t="shared" si="3"/>
        <v>2266.6666666666665</v>
      </c>
      <c r="F31" s="56"/>
    </row>
    <row r="32" spans="2:6" x14ac:dyDescent="0.2">
      <c r="B32" s="53">
        <v>27</v>
      </c>
      <c r="C32" s="144">
        <v>2200</v>
      </c>
      <c r="D32" s="56">
        <f t="shared" si="2"/>
        <v>2433.3333333333335</v>
      </c>
      <c r="E32" s="56">
        <f t="shared" si="3"/>
        <v>2311.1111111111113</v>
      </c>
      <c r="F32" s="56"/>
    </row>
    <row r="33" spans="2:6" x14ac:dyDescent="0.2">
      <c r="B33" s="53">
        <v>28</v>
      </c>
      <c r="C33" s="144">
        <v>2500</v>
      </c>
      <c r="D33" s="56">
        <f t="shared" si="2"/>
        <v>2333.3333333333335</v>
      </c>
      <c r="E33" s="56">
        <f t="shared" si="3"/>
        <v>2311.1111111111113</v>
      </c>
      <c r="F33" s="56"/>
    </row>
    <row r="34" spans="2:6" x14ac:dyDescent="0.2">
      <c r="B34" s="53">
        <v>29</v>
      </c>
      <c r="C34" s="144">
        <v>2400</v>
      </c>
      <c r="D34" s="56">
        <f t="shared" si="2"/>
        <v>2300</v>
      </c>
      <c r="E34" s="56">
        <f t="shared" si="3"/>
        <v>2377.7777777777778</v>
      </c>
      <c r="F34" s="56"/>
    </row>
    <row r="35" spans="2:6" ht="13.5" thickBot="1" x14ac:dyDescent="0.25">
      <c r="B35" s="58">
        <v>30</v>
      </c>
      <c r="C35" s="146">
        <v>2100</v>
      </c>
      <c r="D35" s="59">
        <f t="shared" si="2"/>
        <v>2366.6666666666665</v>
      </c>
      <c r="E35" s="59">
        <f t="shared" si="3"/>
        <v>2377.7777777777778</v>
      </c>
      <c r="F35" s="56"/>
    </row>
  </sheetData>
  <mergeCells count="1">
    <mergeCell ref="D4:E4"/>
  </mergeCells>
  <phoneticPr fontId="0" type="noConversion"/>
  <printOptions horizontalCentered="1"/>
  <pageMargins left="1" right="1" top="1" bottom="1" header="0.5" footer="0.5"/>
  <pageSetup orientation="landscape" r:id="rId1"/>
  <headerFooter alignWithMargins="0"/>
  <ignoredErrors>
    <ignoredError sqref="D15:D35 D9:D14 E15:E35" formulaRange="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0"/>
  <sheetViews>
    <sheetView showGridLines="0" workbookViewId="0"/>
  </sheetViews>
  <sheetFormatPr defaultRowHeight="12.75" x14ac:dyDescent="0.2"/>
  <cols>
    <col min="1" max="1" width="5.7109375" customWidth="1"/>
    <col min="2" max="2" width="19.140625" bestFit="1" customWidth="1"/>
    <col min="3" max="5" width="12" bestFit="1" customWidth="1"/>
    <col min="6" max="6" width="10" bestFit="1" customWidth="1"/>
  </cols>
  <sheetData>
    <row r="2" spans="2:6" x14ac:dyDescent="0.2">
      <c r="B2" s="19" t="s">
        <v>96</v>
      </c>
    </row>
    <row r="4" spans="2:6" ht="20.25" customHeight="1" thickBot="1" x14ac:dyDescent="0.25">
      <c r="B4" s="68"/>
      <c r="C4" s="1" t="s">
        <v>97</v>
      </c>
      <c r="D4" s="1" t="s">
        <v>98</v>
      </c>
      <c r="E4" s="1" t="s">
        <v>99</v>
      </c>
      <c r="F4" s="1" t="s">
        <v>100</v>
      </c>
    </row>
    <row r="5" spans="2:6" x14ac:dyDescent="0.2">
      <c r="B5" t="s">
        <v>101</v>
      </c>
      <c r="C5" s="3">
        <v>2200</v>
      </c>
      <c r="D5" s="3">
        <v>2400</v>
      </c>
      <c r="E5" s="3">
        <v>2300</v>
      </c>
      <c r="F5" s="3">
        <v>2400</v>
      </c>
    </row>
    <row r="6" spans="2:6" x14ac:dyDescent="0.2">
      <c r="B6" t="s">
        <v>102</v>
      </c>
      <c r="C6" s="3">
        <v>2000</v>
      </c>
      <c r="D6" s="3">
        <v>2100</v>
      </c>
      <c r="E6" s="3">
        <v>2200</v>
      </c>
      <c r="F6" s="3">
        <v>2200</v>
      </c>
    </row>
    <row r="7" spans="2:6" x14ac:dyDescent="0.2">
      <c r="B7" t="s">
        <v>103</v>
      </c>
      <c r="C7" s="3">
        <v>2300</v>
      </c>
      <c r="D7" s="3">
        <v>2400</v>
      </c>
      <c r="E7" s="3">
        <v>2300</v>
      </c>
      <c r="F7" s="3">
        <v>2500</v>
      </c>
    </row>
    <row r="8" spans="2:6" x14ac:dyDescent="0.2">
      <c r="B8" t="s">
        <v>104</v>
      </c>
      <c r="C8" s="3">
        <v>1800</v>
      </c>
      <c r="D8" s="3">
        <v>1900</v>
      </c>
      <c r="E8" s="3">
        <v>1800</v>
      </c>
      <c r="F8" s="3">
        <v>2000</v>
      </c>
    </row>
    <row r="9" spans="2:6" x14ac:dyDescent="0.2">
      <c r="B9" t="s">
        <v>105</v>
      </c>
      <c r="C9" s="3">
        <v>1900</v>
      </c>
      <c r="D9" s="3">
        <v>1800</v>
      </c>
      <c r="E9" s="3">
        <v>2100</v>
      </c>
      <c r="F9" s="3">
        <v>2000</v>
      </c>
    </row>
    <row r="10" spans="2:6" x14ac:dyDescent="0.2">
      <c r="B10" t="s">
        <v>106</v>
      </c>
      <c r="C10" s="3"/>
      <c r="D10" s="3"/>
      <c r="E10" s="3"/>
      <c r="F10" s="3"/>
    </row>
    <row r="11" spans="2:6" ht="13.5" thickBot="1" x14ac:dyDescent="0.25">
      <c r="B11" s="91" t="s">
        <v>107</v>
      </c>
      <c r="C11" s="1">
        <v>2800</v>
      </c>
      <c r="D11" s="1">
        <v>2700</v>
      </c>
      <c r="E11" s="1">
        <v>3000</v>
      </c>
      <c r="F11" s="1">
        <v>2900</v>
      </c>
    </row>
    <row r="14" spans="2:6" x14ac:dyDescent="0.2">
      <c r="B14" s="86" t="s">
        <v>108</v>
      </c>
    </row>
    <row r="15" spans="2:6" x14ac:dyDescent="0.2">
      <c r="B15" s="86"/>
    </row>
    <row r="16" spans="2:6" x14ac:dyDescent="0.2">
      <c r="B16" s="86" t="s">
        <v>109</v>
      </c>
    </row>
    <row r="17" spans="2:8" x14ac:dyDescent="0.2">
      <c r="H17" s="99" t="s">
        <v>110</v>
      </c>
    </row>
    <row r="18" spans="2:8" x14ac:dyDescent="0.2">
      <c r="H18" s="99" t="s">
        <v>111</v>
      </c>
    </row>
    <row r="19" spans="2:8" s="100" customFormat="1" ht="13.5" thickBot="1" x14ac:dyDescent="0.25">
      <c r="B19" s="68"/>
      <c r="C19" s="1" t="s">
        <v>97</v>
      </c>
      <c r="D19" s="1" t="s">
        <v>98</v>
      </c>
      <c r="E19" s="1" t="s">
        <v>99</v>
      </c>
      <c r="F19" s="1" t="s">
        <v>100</v>
      </c>
      <c r="G19" s="101"/>
      <c r="H19" s="102" t="s">
        <v>95</v>
      </c>
    </row>
    <row r="20" spans="2:8" x14ac:dyDescent="0.2">
      <c r="B20" t="s">
        <v>101</v>
      </c>
      <c r="C20" s="3">
        <v>2200</v>
      </c>
      <c r="D20" s="3">
        <v>2400</v>
      </c>
      <c r="E20" s="3">
        <v>2300</v>
      </c>
      <c r="F20" s="3">
        <v>2400</v>
      </c>
      <c r="H20" s="103">
        <f>AVERAGE(C20:F20)</f>
        <v>2325</v>
      </c>
    </row>
    <row r="21" spans="2:8" x14ac:dyDescent="0.2">
      <c r="B21" t="s">
        <v>102</v>
      </c>
      <c r="C21" s="3">
        <v>2000</v>
      </c>
      <c r="D21" s="3">
        <v>2100</v>
      </c>
      <c r="E21" s="3">
        <v>2200</v>
      </c>
      <c r="F21" s="3">
        <v>2200</v>
      </c>
      <c r="H21" s="103">
        <f>AVERAGE(C21:F21)</f>
        <v>2125</v>
      </c>
    </row>
    <row r="22" spans="2:8" x14ac:dyDescent="0.2">
      <c r="B22" t="s">
        <v>103</v>
      </c>
      <c r="C22" s="3">
        <v>2300</v>
      </c>
      <c r="D22" s="3">
        <v>2400</v>
      </c>
      <c r="E22" s="3">
        <v>2300</v>
      </c>
      <c r="F22" s="3">
        <v>2500</v>
      </c>
      <c r="H22" s="103">
        <f>AVERAGE(C22:F22)</f>
        <v>2375</v>
      </c>
    </row>
    <row r="23" spans="2:8" x14ac:dyDescent="0.2">
      <c r="B23" t="s">
        <v>104</v>
      </c>
      <c r="C23" s="3">
        <v>1800</v>
      </c>
      <c r="D23" s="3">
        <v>1900</v>
      </c>
      <c r="E23" s="3">
        <v>1800</v>
      </c>
      <c r="F23" s="3">
        <v>2000</v>
      </c>
      <c r="H23" s="103">
        <f>AVERAGE(C23:F23)</f>
        <v>1875</v>
      </c>
    </row>
    <row r="24" spans="2:8" x14ac:dyDescent="0.2">
      <c r="B24" t="s">
        <v>105</v>
      </c>
      <c r="C24" s="3">
        <v>1900</v>
      </c>
      <c r="D24" s="3">
        <v>1800</v>
      </c>
      <c r="E24" s="3">
        <v>2100</v>
      </c>
      <c r="F24" s="3">
        <v>2000</v>
      </c>
      <c r="H24" s="103">
        <f>AVERAGE(C24:F24)</f>
        <v>1950</v>
      </c>
    </row>
    <row r="25" spans="2:8" x14ac:dyDescent="0.2">
      <c r="B25" t="s">
        <v>106</v>
      </c>
      <c r="C25" s="3"/>
      <c r="D25" s="3"/>
      <c r="E25" s="3"/>
      <c r="F25" s="3"/>
      <c r="H25" s="103"/>
    </row>
    <row r="26" spans="2:8" ht="13.5" thickBot="1" x14ac:dyDescent="0.25">
      <c r="B26" s="91" t="s">
        <v>107</v>
      </c>
      <c r="C26" s="1">
        <v>2800</v>
      </c>
      <c r="D26" s="1">
        <v>2700</v>
      </c>
      <c r="E26" s="1">
        <v>3000</v>
      </c>
      <c r="F26" s="1">
        <v>2900</v>
      </c>
      <c r="G26" s="68"/>
      <c r="H26" s="104">
        <f>AVERAGE(C26:F26)</f>
        <v>2850</v>
      </c>
    </row>
    <row r="29" spans="2:8" x14ac:dyDescent="0.2">
      <c r="B29" s="86" t="s">
        <v>112</v>
      </c>
    </row>
    <row r="30" spans="2:8" x14ac:dyDescent="0.2">
      <c r="H30" s="2" t="s">
        <v>113</v>
      </c>
    </row>
    <row r="31" spans="2:8" ht="13.5" thickBot="1" x14ac:dyDescent="0.25">
      <c r="B31" s="95" t="s">
        <v>87</v>
      </c>
      <c r="C31" s="152" t="s">
        <v>114</v>
      </c>
      <c r="D31" s="152"/>
      <c r="E31" s="152"/>
      <c r="F31" s="152"/>
      <c r="H31" s="2" t="s">
        <v>115</v>
      </c>
    </row>
    <row r="32" spans="2:8" ht="13.5" thickBot="1" x14ac:dyDescent="0.25">
      <c r="B32" s="101"/>
      <c r="C32" s="105">
        <v>0.1</v>
      </c>
      <c r="D32" s="105">
        <v>0.2</v>
      </c>
      <c r="E32" s="105">
        <v>0.3</v>
      </c>
      <c r="F32" s="105">
        <v>0.4</v>
      </c>
      <c r="G32" s="101"/>
      <c r="H32" s="101" t="s">
        <v>95</v>
      </c>
    </row>
    <row r="33" spans="2:8" x14ac:dyDescent="0.2">
      <c r="B33" t="s">
        <v>101</v>
      </c>
      <c r="C33" s="3">
        <f>C5*0.1</f>
        <v>220</v>
      </c>
      <c r="D33" s="3">
        <f>D5*0.2</f>
        <v>480</v>
      </c>
      <c r="E33" s="3">
        <f>E5*0.3</f>
        <v>690</v>
      </c>
      <c r="F33" s="3">
        <f>F5*0.4</f>
        <v>960</v>
      </c>
      <c r="G33" s="3" t="s">
        <v>116</v>
      </c>
      <c r="H33" s="3">
        <f>SUM(C33:F33)</f>
        <v>2350</v>
      </c>
    </row>
    <row r="34" spans="2:8" x14ac:dyDescent="0.2">
      <c r="B34" t="s">
        <v>102</v>
      </c>
      <c r="C34" s="3">
        <f>C6*0.1</f>
        <v>200</v>
      </c>
      <c r="D34" s="3">
        <f>D6*0.2</f>
        <v>420</v>
      </c>
      <c r="E34" s="3">
        <f>E6*0.3</f>
        <v>660</v>
      </c>
      <c r="F34" s="3">
        <f>F6*0.4</f>
        <v>880</v>
      </c>
      <c r="G34" s="3" t="s">
        <v>116</v>
      </c>
      <c r="H34" s="3">
        <f>SUM(C34:F34)</f>
        <v>2160</v>
      </c>
    </row>
    <row r="35" spans="2:8" x14ac:dyDescent="0.2">
      <c r="B35" t="s">
        <v>103</v>
      </c>
      <c r="C35" s="3">
        <f>C7*0.1</f>
        <v>230</v>
      </c>
      <c r="D35" s="3">
        <f>D7*0.2</f>
        <v>480</v>
      </c>
      <c r="E35" s="3">
        <f>E7*0.3</f>
        <v>690</v>
      </c>
      <c r="F35" s="3">
        <f>F7*0.4</f>
        <v>1000</v>
      </c>
      <c r="G35" s="3" t="s">
        <v>116</v>
      </c>
      <c r="H35" s="3">
        <f>SUM(C35:F35)</f>
        <v>2400</v>
      </c>
    </row>
    <row r="36" spans="2:8" x14ac:dyDescent="0.2">
      <c r="B36" t="s">
        <v>104</v>
      </c>
      <c r="C36" s="3">
        <f>C8*0.1</f>
        <v>180</v>
      </c>
      <c r="D36" s="3">
        <f>D8*0.2</f>
        <v>380</v>
      </c>
      <c r="E36" s="3">
        <f>E8*0.3</f>
        <v>540</v>
      </c>
      <c r="F36" s="3">
        <f>F8*0.4</f>
        <v>800</v>
      </c>
      <c r="G36" s="3" t="s">
        <v>116</v>
      </c>
      <c r="H36" s="3">
        <f>SUM(C36:F36)</f>
        <v>1900</v>
      </c>
    </row>
    <row r="37" spans="2:8" x14ac:dyDescent="0.2">
      <c r="B37" t="s">
        <v>105</v>
      </c>
      <c r="C37" s="3">
        <f>C9*0.1</f>
        <v>190</v>
      </c>
      <c r="D37" s="3">
        <f>D9*0.2</f>
        <v>360</v>
      </c>
      <c r="E37" s="3">
        <f>E9*0.3</f>
        <v>630</v>
      </c>
      <c r="F37" s="3">
        <f>F9*0.4</f>
        <v>800</v>
      </c>
      <c r="G37" s="3" t="s">
        <v>116</v>
      </c>
      <c r="H37" s="3">
        <f>SUM(C37:F37)</f>
        <v>1980</v>
      </c>
    </row>
    <row r="38" spans="2:8" x14ac:dyDescent="0.2">
      <c r="B38" t="s">
        <v>106</v>
      </c>
      <c r="C38" s="3"/>
      <c r="D38" s="3"/>
      <c r="E38" s="3"/>
      <c r="F38" s="3"/>
      <c r="G38" s="3"/>
      <c r="H38" s="3"/>
    </row>
    <row r="39" spans="2:8" ht="13.5" thickBot="1" x14ac:dyDescent="0.25">
      <c r="B39" s="68" t="s">
        <v>107</v>
      </c>
      <c r="C39" s="98">
        <f>C11*0.1</f>
        <v>280</v>
      </c>
      <c r="D39" s="98">
        <f>D11*0.2</f>
        <v>540</v>
      </c>
      <c r="E39" s="98">
        <f>E11*0.3</f>
        <v>900</v>
      </c>
      <c r="F39" s="98">
        <f>F11*0.4</f>
        <v>1160</v>
      </c>
      <c r="G39" s="98" t="s">
        <v>116</v>
      </c>
      <c r="H39" s="98">
        <f>SUM(C39:F39)</f>
        <v>2880</v>
      </c>
    </row>
    <row r="40" spans="2:8" x14ac:dyDescent="0.2">
      <c r="C40" s="3">
        <f>SUM(C33:C39)</f>
        <v>1300</v>
      </c>
      <c r="D40" s="3">
        <f>SUM(D33:D39)</f>
        <v>2660</v>
      </c>
      <c r="E40" s="3">
        <f>SUM(E33:E39)</f>
        <v>4110</v>
      </c>
      <c r="F40" s="3">
        <f>SUM(F33:F39)</f>
        <v>5600</v>
      </c>
      <c r="G40" s="3" t="s">
        <v>116</v>
      </c>
      <c r="H40" s="3">
        <f>SUM(C40:F40)</f>
        <v>13670</v>
      </c>
    </row>
  </sheetData>
  <mergeCells count="1">
    <mergeCell ref="C31:F31"/>
  </mergeCells>
  <phoneticPr fontId="0" type="noConversion"/>
  <printOptions horizontalCentered="1"/>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P48"/>
  <sheetViews>
    <sheetView showGridLines="0" workbookViewId="0"/>
  </sheetViews>
  <sheetFormatPr defaultRowHeight="12.75" x14ac:dyDescent="0.2"/>
  <cols>
    <col min="1" max="1" width="6.5703125" style="10" customWidth="1"/>
    <col min="2" max="2" width="9.28515625" style="11" customWidth="1"/>
    <col min="3" max="3" width="9.42578125" style="11" customWidth="1"/>
    <col min="4" max="4" width="12.28515625" style="11" bestFit="1" customWidth="1"/>
    <col min="5" max="5" width="9.7109375" style="11" customWidth="1"/>
    <col min="6" max="6" width="14" style="11" customWidth="1"/>
    <col min="7" max="8" width="9.140625" style="10"/>
    <col min="9" max="9" width="9.85546875" style="10" customWidth="1"/>
    <col min="10" max="16384" width="9.140625" style="10"/>
  </cols>
  <sheetData>
    <row r="2" spans="2:16" x14ac:dyDescent="0.2">
      <c r="B2" s="60" t="s">
        <v>141</v>
      </c>
    </row>
    <row r="3" spans="2:16" x14ac:dyDescent="0.2">
      <c r="B3" s="60"/>
    </row>
    <row r="4" spans="2:16" x14ac:dyDescent="0.2">
      <c r="B4" s="133" t="s">
        <v>22</v>
      </c>
      <c r="C4" s="134" t="s">
        <v>23</v>
      </c>
      <c r="D4" s="134" t="s">
        <v>24</v>
      </c>
      <c r="E4" s="135" t="s">
        <v>25</v>
      </c>
      <c r="F4" s="136" t="s">
        <v>26</v>
      </c>
      <c r="G4" s="136" t="s">
        <v>27</v>
      </c>
      <c r="H4" s="136" t="s">
        <v>74</v>
      </c>
      <c r="I4" s="136" t="s">
        <v>76</v>
      </c>
      <c r="J4" s="136" t="s">
        <v>147</v>
      </c>
    </row>
    <row r="5" spans="2:16" ht="51" x14ac:dyDescent="0.2">
      <c r="B5" s="48" t="s">
        <v>124</v>
      </c>
      <c r="C5" s="62" t="s">
        <v>65</v>
      </c>
      <c r="D5" s="62" t="s">
        <v>70</v>
      </c>
      <c r="E5" s="62" t="s">
        <v>71</v>
      </c>
      <c r="F5" s="128" t="s">
        <v>126</v>
      </c>
      <c r="L5" s="10" t="s">
        <v>117</v>
      </c>
      <c r="O5" s="10" t="s">
        <v>118</v>
      </c>
    </row>
    <row r="6" spans="2:16" ht="15" thickBot="1" x14ac:dyDescent="0.25">
      <c r="B6" s="137" t="s">
        <v>148</v>
      </c>
      <c r="C6" s="67" t="s">
        <v>69</v>
      </c>
      <c r="D6" s="68"/>
      <c r="E6" s="107"/>
      <c r="F6" s="131" t="s">
        <v>142</v>
      </c>
      <c r="G6" s="129" t="s">
        <v>143</v>
      </c>
      <c r="H6" s="129" t="s">
        <v>135</v>
      </c>
      <c r="I6" s="129" t="s">
        <v>144</v>
      </c>
      <c r="J6" s="130" t="s">
        <v>145</v>
      </c>
      <c r="L6" s="10" t="s">
        <v>119</v>
      </c>
      <c r="O6" s="10" t="s">
        <v>119</v>
      </c>
    </row>
    <row r="7" spans="2:16" x14ac:dyDescent="0.2">
      <c r="B7" s="124">
        <v>1</v>
      </c>
      <c r="C7" s="125">
        <v>300</v>
      </c>
      <c r="D7" s="82">
        <f>AVERAGE(C7,C11,C15)</f>
        <v>358</v>
      </c>
      <c r="E7" s="66">
        <f>D7/AVERAGE($D$7:$D$10)</f>
        <v>0.52724594992636231</v>
      </c>
      <c r="F7" s="122">
        <v>568.99</v>
      </c>
      <c r="G7" s="35">
        <f t="shared" ref="G7:G18" si="0">IF(B7="","",B7*F7)</f>
        <v>568.99</v>
      </c>
      <c r="H7" s="35">
        <f t="shared" ref="H7:H18" si="1">IF(B7="","",B7^2)</f>
        <v>1</v>
      </c>
      <c r="I7" s="35">
        <f t="shared" ref="I7:I18" si="2">IF(B7="","",F7^2)</f>
        <v>323749.6201</v>
      </c>
      <c r="J7" s="36">
        <f t="shared" ref="J7:J18" si="3">IF(B7="","",$I$25+(B7*$I$24))</f>
        <v>540.2983333333334</v>
      </c>
      <c r="L7" s="106" t="s">
        <v>132</v>
      </c>
      <c r="O7" s="10" t="s">
        <v>120</v>
      </c>
    </row>
    <row r="8" spans="2:16" ht="16.5" thickBot="1" x14ac:dyDescent="0.35">
      <c r="B8" s="124">
        <v>2</v>
      </c>
      <c r="C8" s="125">
        <v>540</v>
      </c>
      <c r="D8" s="82">
        <f>AVERAGE(C8,C12,C16)</f>
        <v>650</v>
      </c>
      <c r="E8" s="66">
        <f t="shared" ref="E8:E10" si="4">D8/AVERAGE($D$7:$D$10)</f>
        <v>0.95729013254786455</v>
      </c>
      <c r="F8" s="122">
        <v>564.09</v>
      </c>
      <c r="G8" s="35">
        <f t="shared" si="0"/>
        <v>1128.18</v>
      </c>
      <c r="H8" s="35">
        <f t="shared" si="1"/>
        <v>4</v>
      </c>
      <c r="I8" s="35">
        <f t="shared" si="2"/>
        <v>318197.52810000005</v>
      </c>
      <c r="J8" s="36">
        <f t="shared" si="3"/>
        <v>579.91988095238094</v>
      </c>
      <c r="L8" s="30" t="s">
        <v>78</v>
      </c>
      <c r="M8" s="30" t="s">
        <v>122</v>
      </c>
      <c r="O8" s="30" t="s">
        <v>121</v>
      </c>
      <c r="P8" s="30" t="s">
        <v>123</v>
      </c>
    </row>
    <row r="9" spans="2:16" x14ac:dyDescent="0.2">
      <c r="B9" s="124">
        <v>3</v>
      </c>
      <c r="C9" s="125">
        <v>885</v>
      </c>
      <c r="D9" s="82">
        <f>AVERAGE(C9,C13,C17)</f>
        <v>1038</v>
      </c>
      <c r="E9" s="66">
        <f t="shared" si="4"/>
        <v>1.5287187039764358</v>
      </c>
      <c r="F9" s="122">
        <v>578.91999999999996</v>
      </c>
      <c r="G9" s="35">
        <f t="shared" si="0"/>
        <v>1736.7599999999998</v>
      </c>
      <c r="H9" s="35">
        <f t="shared" si="1"/>
        <v>9</v>
      </c>
      <c r="I9" s="35">
        <f t="shared" si="2"/>
        <v>335148.36639999994</v>
      </c>
      <c r="J9" s="36">
        <f t="shared" si="3"/>
        <v>619.54142857142858</v>
      </c>
      <c r="L9" s="108">
        <v>9</v>
      </c>
      <c r="M9" s="109">
        <f t="shared" ref="M9:M16" si="5">IF(L9="","",$I$25+$I$24*L9)</f>
        <v>857.27071428571423</v>
      </c>
      <c r="O9" s="138">
        <f>E7</f>
        <v>0.52724594992636231</v>
      </c>
      <c r="P9" s="132">
        <f t="shared" ref="P9:P16" si="6">IF(O9="","",M9*O9)</f>
        <v>451.99251209762252</v>
      </c>
    </row>
    <row r="10" spans="2:16" x14ac:dyDescent="0.2">
      <c r="B10" s="124">
        <v>4</v>
      </c>
      <c r="C10" s="125">
        <v>580</v>
      </c>
      <c r="D10" s="82">
        <f>AVERAGE(C10,C14,C18)</f>
        <v>670</v>
      </c>
      <c r="E10" s="66">
        <f t="shared" si="4"/>
        <v>0.98674521354933731</v>
      </c>
      <c r="F10" s="122">
        <v>587.79</v>
      </c>
      <c r="G10" s="35">
        <f t="shared" si="0"/>
        <v>2351.16</v>
      </c>
      <c r="H10" s="35">
        <f t="shared" si="1"/>
        <v>16</v>
      </c>
      <c r="I10" s="35">
        <f t="shared" si="2"/>
        <v>345497.08409999998</v>
      </c>
      <c r="J10" s="36">
        <f t="shared" si="3"/>
        <v>659.16297619047623</v>
      </c>
      <c r="L10" s="108">
        <v>10</v>
      </c>
      <c r="M10" s="109">
        <f t="shared" si="5"/>
        <v>896.89226190476188</v>
      </c>
      <c r="O10" s="138">
        <f>E8</f>
        <v>0.95729013254786455</v>
      </c>
      <c r="P10" s="132">
        <f t="shared" si="6"/>
        <v>858.58611227996357</v>
      </c>
    </row>
    <row r="11" spans="2:16" x14ac:dyDescent="0.2">
      <c r="B11" s="124">
        <v>5</v>
      </c>
      <c r="C11" s="125">
        <v>416</v>
      </c>
      <c r="D11" s="2"/>
      <c r="E11" s="66">
        <f>E7</f>
        <v>0.52724594992636231</v>
      </c>
      <c r="F11" s="122">
        <v>789.01</v>
      </c>
      <c r="G11" s="35">
        <f t="shared" si="0"/>
        <v>3945.05</v>
      </c>
      <c r="H11" s="35">
        <f t="shared" si="1"/>
        <v>25</v>
      </c>
      <c r="I11" s="35">
        <f t="shared" si="2"/>
        <v>622536.78009999997</v>
      </c>
      <c r="J11" s="36">
        <f t="shared" si="3"/>
        <v>698.78452380952376</v>
      </c>
      <c r="L11" s="108">
        <v>11</v>
      </c>
      <c r="M11" s="109">
        <f t="shared" si="5"/>
        <v>936.51380952380941</v>
      </c>
      <c r="O11" s="138">
        <f>E9</f>
        <v>1.5287187039764358</v>
      </c>
      <c r="P11" s="132">
        <f t="shared" si="6"/>
        <v>1431.6661771512727</v>
      </c>
    </row>
    <row r="12" spans="2:16" x14ac:dyDescent="0.2">
      <c r="B12" s="124">
        <v>6</v>
      </c>
      <c r="C12" s="125">
        <v>760</v>
      </c>
      <c r="D12" s="2"/>
      <c r="E12" s="66">
        <f t="shared" ref="E12:E18" si="7">E8</f>
        <v>0.95729013254786455</v>
      </c>
      <c r="F12" s="122">
        <v>793.91</v>
      </c>
      <c r="G12" s="35">
        <f t="shared" si="0"/>
        <v>4763.46</v>
      </c>
      <c r="H12" s="35">
        <f t="shared" si="1"/>
        <v>36</v>
      </c>
      <c r="I12" s="35">
        <f t="shared" si="2"/>
        <v>630293.08809999994</v>
      </c>
      <c r="J12" s="36">
        <f t="shared" si="3"/>
        <v>738.40607142857141</v>
      </c>
      <c r="L12" s="108">
        <v>12</v>
      </c>
      <c r="M12" s="109">
        <f t="shared" si="5"/>
        <v>976.13535714285706</v>
      </c>
      <c r="O12" s="138">
        <f>E10</f>
        <v>0.98674521354933731</v>
      </c>
      <c r="P12" s="132">
        <f t="shared" si="6"/>
        <v>963.19689143698713</v>
      </c>
    </row>
    <row r="13" spans="2:16" x14ac:dyDescent="0.2">
      <c r="B13" s="124">
        <v>7</v>
      </c>
      <c r="C13" s="125">
        <v>1191</v>
      </c>
      <c r="D13" s="2"/>
      <c r="E13" s="66">
        <f t="shared" si="7"/>
        <v>1.5287187039764358</v>
      </c>
      <c r="F13" s="122">
        <v>779.08</v>
      </c>
      <c r="G13" s="35">
        <f t="shared" si="0"/>
        <v>5453.56</v>
      </c>
      <c r="H13" s="35">
        <f t="shared" si="1"/>
        <v>49</v>
      </c>
      <c r="I13" s="35">
        <f t="shared" si="2"/>
        <v>606965.64640000009</v>
      </c>
      <c r="J13" s="36">
        <f t="shared" si="3"/>
        <v>778.02761904761905</v>
      </c>
      <c r="L13" s="108"/>
      <c r="M13" s="109" t="str">
        <f t="shared" si="5"/>
        <v/>
      </c>
      <c r="O13" s="139" t="str">
        <f>IF(L13="","",O9)</f>
        <v/>
      </c>
      <c r="P13" s="110" t="str">
        <f t="shared" si="6"/>
        <v/>
      </c>
    </row>
    <row r="14" spans="2:16" x14ac:dyDescent="0.2">
      <c r="B14" s="124">
        <v>8</v>
      </c>
      <c r="C14" s="125">
        <v>760</v>
      </c>
      <c r="D14" s="2"/>
      <c r="E14" s="66">
        <f t="shared" si="7"/>
        <v>0.98674521354933731</v>
      </c>
      <c r="F14" s="122">
        <v>770</v>
      </c>
      <c r="G14" s="35">
        <f t="shared" si="0"/>
        <v>6160</v>
      </c>
      <c r="H14" s="35">
        <f t="shared" si="1"/>
        <v>64</v>
      </c>
      <c r="I14" s="35">
        <f t="shared" si="2"/>
        <v>592900</v>
      </c>
      <c r="J14" s="36">
        <f t="shared" si="3"/>
        <v>817.64916666666659</v>
      </c>
      <c r="L14" s="108"/>
      <c r="M14" s="109" t="str">
        <f t="shared" si="5"/>
        <v/>
      </c>
      <c r="O14" s="139" t="str">
        <f>IF(L14="","",O10)</f>
        <v/>
      </c>
      <c r="P14" s="110" t="str">
        <f t="shared" si="6"/>
        <v/>
      </c>
    </row>
    <row r="15" spans="2:16" x14ac:dyDescent="0.2">
      <c r="B15" s="124"/>
      <c r="C15" s="125"/>
      <c r="D15" s="2"/>
      <c r="E15" s="66">
        <f>E11</f>
        <v>0.52724594992636231</v>
      </c>
      <c r="F15" s="122"/>
      <c r="G15" s="35" t="str">
        <f t="shared" si="0"/>
        <v/>
      </c>
      <c r="H15" s="35" t="str">
        <f t="shared" si="1"/>
        <v/>
      </c>
      <c r="I15" s="35" t="str">
        <f t="shared" si="2"/>
        <v/>
      </c>
      <c r="J15" s="36" t="str">
        <f t="shared" si="3"/>
        <v/>
      </c>
      <c r="L15" s="108"/>
      <c r="M15" s="109" t="str">
        <f t="shared" si="5"/>
        <v/>
      </c>
      <c r="O15" s="139" t="str">
        <f>IF(L15="","",O11)</f>
        <v/>
      </c>
      <c r="P15" s="110" t="str">
        <f t="shared" si="6"/>
        <v/>
      </c>
    </row>
    <row r="16" spans="2:16" ht="13.5" thickBot="1" x14ac:dyDescent="0.25">
      <c r="B16" s="124"/>
      <c r="C16" s="125"/>
      <c r="D16" s="2"/>
      <c r="E16" s="66">
        <f t="shared" si="7"/>
        <v>0.95729013254786455</v>
      </c>
      <c r="F16" s="122"/>
      <c r="G16" s="35" t="str">
        <f t="shared" si="0"/>
        <v/>
      </c>
      <c r="H16" s="35" t="str">
        <f t="shared" si="1"/>
        <v/>
      </c>
      <c r="I16" s="35" t="str">
        <f t="shared" si="2"/>
        <v/>
      </c>
      <c r="J16" s="36" t="str">
        <f t="shared" si="3"/>
        <v/>
      </c>
      <c r="L16" s="94"/>
      <c r="M16" s="111" t="str">
        <f t="shared" si="5"/>
        <v/>
      </c>
      <c r="O16" s="140" t="str">
        <f>IF(L16="","",O12)</f>
        <v/>
      </c>
      <c r="P16" s="112" t="str">
        <f t="shared" si="6"/>
        <v/>
      </c>
    </row>
    <row r="17" spans="1:12" x14ac:dyDescent="0.2">
      <c r="B17" s="124"/>
      <c r="C17" s="125"/>
      <c r="D17" s="2"/>
      <c r="E17" s="66">
        <f t="shared" si="7"/>
        <v>1.5287187039764358</v>
      </c>
      <c r="F17" s="122"/>
      <c r="G17" s="35" t="str">
        <f t="shared" si="0"/>
        <v/>
      </c>
      <c r="H17" s="35" t="str">
        <f t="shared" si="1"/>
        <v/>
      </c>
      <c r="I17" s="35" t="str">
        <f t="shared" si="2"/>
        <v/>
      </c>
      <c r="J17" s="36" t="str">
        <f t="shared" si="3"/>
        <v/>
      </c>
    </row>
    <row r="18" spans="1:12" ht="13.5" thickBot="1" x14ac:dyDescent="0.25">
      <c r="B18" s="126"/>
      <c r="C18" s="127"/>
      <c r="D18" s="115"/>
      <c r="E18" s="105">
        <f t="shared" si="7"/>
        <v>0.98674521354933731</v>
      </c>
      <c r="F18" s="123"/>
      <c r="G18" s="37" t="str">
        <f t="shared" si="0"/>
        <v/>
      </c>
      <c r="H18" s="37" t="str">
        <f t="shared" si="1"/>
        <v/>
      </c>
      <c r="I18" s="37" t="str">
        <f t="shared" si="2"/>
        <v/>
      </c>
      <c r="J18" s="40" t="str">
        <f t="shared" si="3"/>
        <v/>
      </c>
    </row>
    <row r="19" spans="1:12" x14ac:dyDescent="0.2">
      <c r="A19" s="86" t="s">
        <v>146</v>
      </c>
      <c r="B19" s="63">
        <f>SUM(B7:B18)</f>
        <v>36</v>
      </c>
      <c r="C19" s="84">
        <f>SUM(C7:C18)</f>
        <v>5432</v>
      </c>
      <c r="D19" s="64"/>
      <c r="E19" s="121">
        <f>SUM(E7:E18)</f>
        <v>12</v>
      </c>
      <c r="F19" s="35">
        <f>SUM(F7:F18)</f>
        <v>5431.79</v>
      </c>
      <c r="G19" s="35">
        <f>SUM(G7:G18)</f>
        <v>26107.16</v>
      </c>
      <c r="H19" s="35">
        <f>SUM(H7:H18)</f>
        <v>204</v>
      </c>
      <c r="I19" s="35">
        <f>SUM(I7:I18)</f>
        <v>3775288.1132999999</v>
      </c>
      <c r="J19" s="38"/>
    </row>
    <row r="20" spans="1:12" x14ac:dyDescent="0.2">
      <c r="B20" s="60"/>
      <c r="G20" s="11"/>
      <c r="H20" s="11"/>
      <c r="I20" s="11"/>
      <c r="J20" s="11"/>
    </row>
    <row r="21" spans="1:12" x14ac:dyDescent="0.2">
      <c r="B21" s="60"/>
      <c r="C21" s="10"/>
      <c r="D21" s="10"/>
      <c r="E21" s="10"/>
      <c r="F21" s="10"/>
      <c r="J21" s="11"/>
    </row>
    <row r="22" spans="1:12" x14ac:dyDescent="0.2">
      <c r="B22" s="60"/>
      <c r="C22" s="10"/>
      <c r="D22" s="10"/>
      <c r="E22" s="10"/>
      <c r="F22" s="10"/>
      <c r="I22" s="43">
        <f>B19/COUNT(F7:F18)</f>
        <v>4.5</v>
      </c>
      <c r="J22" s="39" t="s">
        <v>133</v>
      </c>
      <c r="K22" s="11"/>
      <c r="L22" s="11"/>
    </row>
    <row r="23" spans="1:12" x14ac:dyDescent="0.2">
      <c r="C23" s="10"/>
      <c r="D23" s="10"/>
      <c r="E23" s="10"/>
      <c r="F23" s="10"/>
      <c r="I23" s="43">
        <f>F19/COUNT(F7:F18)</f>
        <v>678.97375</v>
      </c>
      <c r="J23" s="39" t="s">
        <v>29</v>
      </c>
    </row>
    <row r="24" spans="1:12" x14ac:dyDescent="0.2">
      <c r="B24" s="10"/>
      <c r="C24" s="10"/>
      <c r="D24" s="10"/>
      <c r="E24" s="10"/>
      <c r="F24" s="10"/>
      <c r="I24" s="43">
        <f>(G19-(COUNT(F7:F18)*I22*I23))/(H19-(COUNT(F7:F18)*I22^2))</f>
        <v>39.621547619047611</v>
      </c>
      <c r="J24" s="39" t="s">
        <v>30</v>
      </c>
      <c r="K24" s="21"/>
      <c r="L24" s="39"/>
    </row>
    <row r="25" spans="1:12" x14ac:dyDescent="0.2">
      <c r="B25" s="10"/>
      <c r="C25" s="10"/>
      <c r="D25" s="10"/>
      <c r="E25" s="10"/>
      <c r="F25" s="10"/>
      <c r="I25" s="43">
        <f>I23-(I24*I22)</f>
        <v>500.67678571428576</v>
      </c>
      <c r="J25" s="39" t="s">
        <v>31</v>
      </c>
      <c r="K25" s="21"/>
      <c r="L25" s="39"/>
    </row>
    <row r="26" spans="1:12" x14ac:dyDescent="0.2">
      <c r="B26" s="10"/>
      <c r="C26" s="10"/>
      <c r="D26" s="10"/>
      <c r="E26" s="10"/>
      <c r="F26" s="10"/>
      <c r="I26" s="43"/>
      <c r="J26" s="39"/>
      <c r="K26" s="21"/>
      <c r="L26" s="39"/>
    </row>
    <row r="27" spans="1:12" x14ac:dyDescent="0.2">
      <c r="B27" s="10"/>
      <c r="C27" s="10"/>
      <c r="D27" s="10"/>
      <c r="E27" s="10"/>
      <c r="F27" s="10"/>
      <c r="I27" s="31" t="str">
        <f>CONCATENATE("Regression Equation is Y = ",FIXED(I25,2),IF(I24&lt;0," - "," + "),FIXED(I24,1),"*t")</f>
        <v>Regression Equation is Y = 500.68 + 39.6*t</v>
      </c>
      <c r="J27" s="11"/>
      <c r="K27" s="11"/>
      <c r="L27" s="11"/>
    </row>
    <row r="28" spans="1:12" x14ac:dyDescent="0.2">
      <c r="B28" s="10"/>
      <c r="C28" s="10"/>
      <c r="D28" s="10"/>
      <c r="E28" s="10"/>
      <c r="F28" s="10"/>
    </row>
    <row r="29" spans="1:12" x14ac:dyDescent="0.2">
      <c r="B29" s="10"/>
      <c r="C29" s="10"/>
      <c r="D29" s="10"/>
      <c r="E29" s="10"/>
      <c r="F29" s="10"/>
    </row>
    <row r="30" spans="1:12" x14ac:dyDescent="0.2">
      <c r="B30" s="10"/>
      <c r="C30" s="10"/>
      <c r="D30" s="10"/>
      <c r="E30" s="10"/>
      <c r="F30" s="10"/>
    </row>
    <row r="31" spans="1:12" x14ac:dyDescent="0.2">
      <c r="B31" s="10"/>
      <c r="C31" s="10"/>
      <c r="D31" s="10"/>
      <c r="E31" s="10"/>
      <c r="F31" s="10"/>
    </row>
    <row r="32" spans="1:12" x14ac:dyDescent="0.2">
      <c r="B32" s="10"/>
      <c r="C32" s="10"/>
      <c r="D32" s="10"/>
      <c r="E32" s="10"/>
      <c r="F32" s="10"/>
    </row>
    <row r="33" spans="2:6" x14ac:dyDescent="0.2">
      <c r="B33" s="10"/>
      <c r="C33" s="10"/>
      <c r="D33" s="10"/>
      <c r="E33" s="10"/>
      <c r="F33" s="10"/>
    </row>
    <row r="34" spans="2:6" x14ac:dyDescent="0.2">
      <c r="B34" s="10"/>
      <c r="C34" s="10"/>
      <c r="D34" s="10"/>
      <c r="E34" s="10"/>
      <c r="F34" s="10"/>
    </row>
    <row r="35" spans="2:6" x14ac:dyDescent="0.2">
      <c r="B35" s="10"/>
      <c r="C35" s="10"/>
      <c r="D35" s="10"/>
      <c r="E35" s="10"/>
      <c r="F35" s="10"/>
    </row>
    <row r="36" spans="2:6" x14ac:dyDescent="0.2">
      <c r="B36" s="10"/>
      <c r="C36" s="10"/>
      <c r="D36" s="10"/>
      <c r="E36" s="10"/>
      <c r="F36" s="10"/>
    </row>
    <row r="37" spans="2:6" x14ac:dyDescent="0.2">
      <c r="B37" s="10"/>
      <c r="C37" s="10"/>
      <c r="D37" s="10"/>
      <c r="E37" s="10"/>
      <c r="F37" s="10"/>
    </row>
    <row r="38" spans="2:6" x14ac:dyDescent="0.2">
      <c r="B38" s="10"/>
      <c r="C38" s="10"/>
      <c r="D38" s="10"/>
      <c r="E38" s="10"/>
      <c r="F38" s="10"/>
    </row>
    <row r="39" spans="2:6" ht="8.25" customHeight="1" x14ac:dyDescent="0.2">
      <c r="B39" s="10"/>
      <c r="C39" s="10"/>
      <c r="D39" s="10"/>
      <c r="E39" s="10"/>
      <c r="F39" s="10"/>
    </row>
    <row r="40" spans="2:6" x14ac:dyDescent="0.2">
      <c r="B40" s="10"/>
      <c r="C40" s="10"/>
      <c r="D40" s="10"/>
      <c r="E40" s="10"/>
      <c r="F40" s="10"/>
    </row>
    <row r="41" spans="2:6" x14ac:dyDescent="0.2">
      <c r="B41" s="10"/>
      <c r="C41" s="10"/>
      <c r="D41" s="10"/>
      <c r="E41" s="10"/>
      <c r="F41" s="10"/>
    </row>
    <row r="42" spans="2:6" x14ac:dyDescent="0.2">
      <c r="B42" s="10"/>
      <c r="C42" s="10"/>
      <c r="D42" s="10"/>
      <c r="E42" s="10"/>
      <c r="F42" s="10"/>
    </row>
    <row r="43" spans="2:6" x14ac:dyDescent="0.2">
      <c r="B43" s="10"/>
      <c r="C43" s="10"/>
      <c r="D43" s="10"/>
      <c r="E43" s="10"/>
      <c r="F43" s="10"/>
    </row>
    <row r="44" spans="2:6" x14ac:dyDescent="0.2">
      <c r="B44" s="10"/>
      <c r="C44" s="10"/>
      <c r="D44" s="10"/>
      <c r="E44" s="10"/>
      <c r="F44" s="10"/>
    </row>
    <row r="45" spans="2:6" x14ac:dyDescent="0.2">
      <c r="B45" s="10"/>
      <c r="C45" s="10"/>
      <c r="D45" s="10"/>
      <c r="E45" s="10"/>
      <c r="F45" s="10"/>
    </row>
    <row r="46" spans="2:6" x14ac:dyDescent="0.2">
      <c r="B46" s="10"/>
      <c r="C46" s="10"/>
      <c r="D46" s="10"/>
      <c r="E46" s="10"/>
      <c r="F46" s="10"/>
    </row>
    <row r="47" spans="2:6" x14ac:dyDescent="0.2">
      <c r="B47" s="10"/>
      <c r="C47" s="10"/>
      <c r="D47" s="10"/>
      <c r="E47" s="10"/>
      <c r="F47" s="10"/>
    </row>
    <row r="48" spans="2:6" x14ac:dyDescent="0.2">
      <c r="B48" s="10"/>
      <c r="C48" s="10"/>
      <c r="D48" s="10"/>
      <c r="E48" s="10"/>
      <c r="F48" s="10"/>
    </row>
  </sheetData>
  <phoneticPr fontId="0" type="noConversion"/>
  <printOptions horizontalCentered="1"/>
  <pageMargins left="1" right="1" top="1" bottom="1" header="0.5" footer="0.5"/>
  <pageSetup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H41"/>
  <sheetViews>
    <sheetView showGridLines="0" workbookViewId="0"/>
  </sheetViews>
  <sheetFormatPr defaultRowHeight="12.75" x14ac:dyDescent="0.2"/>
  <cols>
    <col min="1" max="1" width="5.7109375" customWidth="1"/>
    <col min="6" max="6" width="10.140625" customWidth="1"/>
  </cols>
  <sheetData>
    <row r="2" spans="2:4" x14ac:dyDescent="0.2">
      <c r="B2" s="19" t="s">
        <v>127</v>
      </c>
    </row>
    <row r="4" spans="2:4" ht="18" customHeight="1" thickBot="1" x14ac:dyDescent="0.25">
      <c r="B4" s="91" t="s">
        <v>78</v>
      </c>
      <c r="C4" s="1" t="s">
        <v>79</v>
      </c>
      <c r="D4" s="1" t="s">
        <v>80</v>
      </c>
    </row>
    <row r="5" spans="2:4" x14ac:dyDescent="0.2">
      <c r="B5" s="92" t="s">
        <v>81</v>
      </c>
      <c r="C5" s="93">
        <v>700</v>
      </c>
      <c r="D5" s="93">
        <v>660</v>
      </c>
    </row>
    <row r="6" spans="2:4" x14ac:dyDescent="0.2">
      <c r="B6" s="92" t="s">
        <v>82</v>
      </c>
      <c r="C6" s="93">
        <v>760</v>
      </c>
      <c r="D6" s="93">
        <v>840</v>
      </c>
    </row>
    <row r="7" spans="2:4" x14ac:dyDescent="0.2">
      <c r="B7" s="92" t="s">
        <v>83</v>
      </c>
      <c r="C7" s="93">
        <v>780</v>
      </c>
      <c r="D7" s="93">
        <v>750</v>
      </c>
    </row>
    <row r="8" spans="2:4" x14ac:dyDescent="0.2">
      <c r="B8" s="92" t="s">
        <v>84</v>
      </c>
      <c r="C8" s="93">
        <v>790</v>
      </c>
      <c r="D8" s="93">
        <v>835</v>
      </c>
    </row>
    <row r="9" spans="2:4" x14ac:dyDescent="0.2">
      <c r="B9" s="92" t="s">
        <v>85</v>
      </c>
      <c r="C9" s="93">
        <v>850</v>
      </c>
      <c r="D9" s="93">
        <v>910</v>
      </c>
    </row>
    <row r="10" spans="2:4" x14ac:dyDescent="0.2">
      <c r="B10" s="92" t="s">
        <v>86</v>
      </c>
      <c r="C10" s="93">
        <v>950</v>
      </c>
      <c r="D10" s="93">
        <v>890</v>
      </c>
    </row>
    <row r="11" spans="2:4" x14ac:dyDescent="0.2">
      <c r="B11" s="92"/>
      <c r="C11" s="93"/>
      <c r="D11" s="93"/>
    </row>
    <row r="12" spans="2:4" x14ac:dyDescent="0.2">
      <c r="B12" s="92"/>
      <c r="C12" s="93"/>
      <c r="D12" s="93"/>
    </row>
    <row r="13" spans="2:4" x14ac:dyDescent="0.2">
      <c r="B13" s="92"/>
      <c r="C13" s="93"/>
      <c r="D13" s="93"/>
    </row>
    <row r="14" spans="2:4" x14ac:dyDescent="0.2">
      <c r="B14" s="92"/>
      <c r="C14" s="93"/>
      <c r="D14" s="93"/>
    </row>
    <row r="15" spans="2:4" x14ac:dyDescent="0.2">
      <c r="B15" s="92"/>
      <c r="C15" s="93"/>
      <c r="D15" s="93"/>
    </row>
    <row r="16" spans="2:4" x14ac:dyDescent="0.2">
      <c r="B16" s="92"/>
      <c r="C16" s="92"/>
      <c r="D16" s="92"/>
    </row>
    <row r="17" spans="2:8" ht="13.5" thickBot="1" x14ac:dyDescent="0.25">
      <c r="B17" s="94"/>
      <c r="C17" s="94"/>
      <c r="D17" s="94"/>
    </row>
    <row r="19" spans="2:8" x14ac:dyDescent="0.2">
      <c r="B19" s="95" t="s">
        <v>87</v>
      </c>
    </row>
    <row r="20" spans="2:8" s="97" customFormat="1" ht="37.5" customHeight="1" thickBot="1" x14ac:dyDescent="0.25">
      <c r="B20" s="7"/>
      <c r="C20" s="7" t="s">
        <v>88</v>
      </c>
      <c r="D20" s="7" t="s">
        <v>89</v>
      </c>
      <c r="E20" s="7" t="s">
        <v>90</v>
      </c>
      <c r="F20" s="7" t="s">
        <v>91</v>
      </c>
      <c r="G20" s="7" t="s">
        <v>92</v>
      </c>
      <c r="H20" s="96" t="s">
        <v>10</v>
      </c>
    </row>
    <row r="21" spans="2:8" x14ac:dyDescent="0.2">
      <c r="B21" t="str">
        <f t="shared" ref="B21:B33" si="0">IF(C5="","",B5)</f>
        <v>October</v>
      </c>
      <c r="C21">
        <f t="shared" ref="C21:D33" si="1">IF(C5="","",C5)</f>
        <v>700</v>
      </c>
      <c r="D21">
        <f t="shared" si="1"/>
        <v>660</v>
      </c>
      <c r="E21" s="3">
        <f t="shared" ref="E21:E33" si="2">IF(B5="","",C21-D21)</f>
        <v>40</v>
      </c>
      <c r="F21" s="3">
        <f>IF(B21="","",E21)</f>
        <v>40</v>
      </c>
      <c r="G21" s="2">
        <f t="shared" ref="G21:G33" si="3">IF(B5="","",ABS(E21))</f>
        <v>40</v>
      </c>
      <c r="H21" s="11">
        <f>IF(C5="","",G21)</f>
        <v>40</v>
      </c>
    </row>
    <row r="22" spans="2:8" x14ac:dyDescent="0.2">
      <c r="B22" t="str">
        <f t="shared" si="0"/>
        <v>November</v>
      </c>
      <c r="C22">
        <f t="shared" si="1"/>
        <v>760</v>
      </c>
      <c r="D22">
        <f t="shared" si="1"/>
        <v>840</v>
      </c>
      <c r="E22" s="3">
        <f t="shared" si="2"/>
        <v>-80</v>
      </c>
      <c r="F22" s="3">
        <f t="shared" ref="F22:F33" si="4">IF(B22="","",E22+F21)</f>
        <v>-40</v>
      </c>
      <c r="G22" s="2">
        <f t="shared" si="3"/>
        <v>80</v>
      </c>
      <c r="H22" s="11">
        <f t="shared" ref="H22:H33" si="5">IF(G22="","",H21+G22)</f>
        <v>120</v>
      </c>
    </row>
    <row r="23" spans="2:8" x14ac:dyDescent="0.2">
      <c r="B23" t="str">
        <f t="shared" si="0"/>
        <v>December</v>
      </c>
      <c r="C23">
        <f t="shared" si="1"/>
        <v>780</v>
      </c>
      <c r="D23">
        <f t="shared" si="1"/>
        <v>750</v>
      </c>
      <c r="E23" s="3">
        <f t="shared" si="2"/>
        <v>30</v>
      </c>
      <c r="F23" s="3">
        <f t="shared" si="4"/>
        <v>-10</v>
      </c>
      <c r="G23" s="2">
        <f t="shared" si="3"/>
        <v>30</v>
      </c>
      <c r="H23" s="11">
        <f t="shared" si="5"/>
        <v>150</v>
      </c>
    </row>
    <row r="24" spans="2:8" x14ac:dyDescent="0.2">
      <c r="B24" t="str">
        <f t="shared" si="0"/>
        <v>January</v>
      </c>
      <c r="C24">
        <f t="shared" si="1"/>
        <v>790</v>
      </c>
      <c r="D24">
        <f t="shared" si="1"/>
        <v>835</v>
      </c>
      <c r="E24" s="3">
        <f t="shared" si="2"/>
        <v>-45</v>
      </c>
      <c r="F24" s="3">
        <f t="shared" si="4"/>
        <v>-55</v>
      </c>
      <c r="G24" s="2">
        <f t="shared" si="3"/>
        <v>45</v>
      </c>
      <c r="H24" s="11">
        <f t="shared" si="5"/>
        <v>195</v>
      </c>
    </row>
    <row r="25" spans="2:8" x14ac:dyDescent="0.2">
      <c r="B25" t="str">
        <f t="shared" si="0"/>
        <v>February</v>
      </c>
      <c r="C25">
        <f t="shared" si="1"/>
        <v>850</v>
      </c>
      <c r="D25">
        <f t="shared" si="1"/>
        <v>910</v>
      </c>
      <c r="E25" s="3">
        <f t="shared" si="2"/>
        <v>-60</v>
      </c>
      <c r="F25" s="3">
        <f t="shared" si="4"/>
        <v>-115</v>
      </c>
      <c r="G25" s="2">
        <f t="shared" si="3"/>
        <v>60</v>
      </c>
      <c r="H25" s="11">
        <f t="shared" si="5"/>
        <v>255</v>
      </c>
    </row>
    <row r="26" spans="2:8" x14ac:dyDescent="0.2">
      <c r="B26" t="str">
        <f t="shared" si="0"/>
        <v>March</v>
      </c>
      <c r="C26">
        <f t="shared" si="1"/>
        <v>950</v>
      </c>
      <c r="D26">
        <f t="shared" si="1"/>
        <v>890</v>
      </c>
      <c r="E26" s="3">
        <f t="shared" si="2"/>
        <v>60</v>
      </c>
      <c r="F26" s="3">
        <f t="shared" si="4"/>
        <v>-55</v>
      </c>
      <c r="G26" s="2">
        <f t="shared" si="3"/>
        <v>60</v>
      </c>
      <c r="H26" s="11">
        <f t="shared" si="5"/>
        <v>315</v>
      </c>
    </row>
    <row r="27" spans="2:8" x14ac:dyDescent="0.2">
      <c r="B27" t="str">
        <f t="shared" si="0"/>
        <v/>
      </c>
      <c r="C27" t="str">
        <f t="shared" si="1"/>
        <v/>
      </c>
      <c r="D27" t="str">
        <f t="shared" si="1"/>
        <v/>
      </c>
      <c r="E27" s="3" t="str">
        <f t="shared" si="2"/>
        <v/>
      </c>
      <c r="F27" s="3" t="str">
        <f t="shared" si="4"/>
        <v/>
      </c>
      <c r="G27" s="2" t="str">
        <f t="shared" si="3"/>
        <v/>
      </c>
      <c r="H27" s="11" t="str">
        <f t="shared" si="5"/>
        <v/>
      </c>
    </row>
    <row r="28" spans="2:8" x14ac:dyDescent="0.2">
      <c r="B28" t="str">
        <f t="shared" si="0"/>
        <v/>
      </c>
      <c r="C28" t="str">
        <f t="shared" si="1"/>
        <v/>
      </c>
      <c r="D28" t="str">
        <f t="shared" si="1"/>
        <v/>
      </c>
      <c r="E28" s="3" t="str">
        <f t="shared" si="2"/>
        <v/>
      </c>
      <c r="F28" s="3" t="str">
        <f t="shared" si="4"/>
        <v/>
      </c>
      <c r="G28" s="2" t="str">
        <f t="shared" si="3"/>
        <v/>
      </c>
      <c r="H28" s="11" t="str">
        <f t="shared" si="5"/>
        <v/>
      </c>
    </row>
    <row r="29" spans="2:8" x14ac:dyDescent="0.2">
      <c r="B29" t="str">
        <f t="shared" si="0"/>
        <v/>
      </c>
      <c r="C29" t="str">
        <f t="shared" si="1"/>
        <v/>
      </c>
      <c r="D29" t="str">
        <f t="shared" si="1"/>
        <v/>
      </c>
      <c r="E29" s="3" t="str">
        <f t="shared" si="2"/>
        <v/>
      </c>
      <c r="F29" s="3" t="str">
        <f t="shared" si="4"/>
        <v/>
      </c>
      <c r="G29" s="2" t="str">
        <f t="shared" si="3"/>
        <v/>
      </c>
      <c r="H29" s="11" t="str">
        <f t="shared" si="5"/>
        <v/>
      </c>
    </row>
    <row r="30" spans="2:8" x14ac:dyDescent="0.2">
      <c r="B30" t="str">
        <f t="shared" si="0"/>
        <v/>
      </c>
      <c r="C30" t="str">
        <f t="shared" si="1"/>
        <v/>
      </c>
      <c r="D30" t="str">
        <f t="shared" si="1"/>
        <v/>
      </c>
      <c r="E30" s="3" t="str">
        <f t="shared" si="2"/>
        <v/>
      </c>
      <c r="F30" s="3" t="str">
        <f t="shared" si="4"/>
        <v/>
      </c>
      <c r="G30" s="2" t="str">
        <f t="shared" si="3"/>
        <v/>
      </c>
      <c r="H30" s="11" t="str">
        <f t="shared" si="5"/>
        <v/>
      </c>
    </row>
    <row r="31" spans="2:8" x14ac:dyDescent="0.2">
      <c r="B31" t="str">
        <f t="shared" si="0"/>
        <v/>
      </c>
      <c r="C31" t="str">
        <f t="shared" si="1"/>
        <v/>
      </c>
      <c r="D31" t="str">
        <f t="shared" si="1"/>
        <v/>
      </c>
      <c r="E31" s="3" t="str">
        <f t="shared" si="2"/>
        <v/>
      </c>
      <c r="F31" s="3" t="str">
        <f t="shared" si="4"/>
        <v/>
      </c>
      <c r="G31" s="2" t="str">
        <f t="shared" si="3"/>
        <v/>
      </c>
      <c r="H31" s="11" t="str">
        <f t="shared" si="5"/>
        <v/>
      </c>
    </row>
    <row r="32" spans="2:8" x14ac:dyDescent="0.2">
      <c r="B32" t="str">
        <f t="shared" si="0"/>
        <v/>
      </c>
      <c r="C32" t="str">
        <f t="shared" si="1"/>
        <v/>
      </c>
      <c r="D32" t="str">
        <f t="shared" si="1"/>
        <v/>
      </c>
      <c r="E32" s="3" t="str">
        <f t="shared" si="2"/>
        <v/>
      </c>
      <c r="F32" s="3" t="str">
        <f t="shared" si="4"/>
        <v/>
      </c>
      <c r="G32" s="2" t="str">
        <f t="shared" si="3"/>
        <v/>
      </c>
      <c r="H32" s="11" t="str">
        <f t="shared" si="5"/>
        <v/>
      </c>
    </row>
    <row r="33" spans="2:8" ht="13.5" thickBot="1" x14ac:dyDescent="0.25">
      <c r="B33" s="68" t="str">
        <f t="shared" si="0"/>
        <v/>
      </c>
      <c r="C33" s="68" t="str">
        <f t="shared" si="1"/>
        <v/>
      </c>
      <c r="D33" s="68" t="str">
        <f t="shared" si="1"/>
        <v/>
      </c>
      <c r="E33" s="98" t="str">
        <f t="shared" si="2"/>
        <v/>
      </c>
      <c r="F33" s="98" t="str">
        <f t="shared" si="4"/>
        <v/>
      </c>
      <c r="G33" s="69" t="str">
        <f t="shared" si="3"/>
        <v/>
      </c>
      <c r="H33" s="28" t="str">
        <f t="shared" si="5"/>
        <v/>
      </c>
    </row>
    <row r="34" spans="2:8" ht="13.5" thickBot="1" x14ac:dyDescent="0.25">
      <c r="B34" s="118" t="s">
        <v>150</v>
      </c>
      <c r="C34" s="143">
        <f>AVERAGE(C21:C33)</f>
        <v>805</v>
      </c>
      <c r="D34" t="str">
        <f>IF(D18="","",D18)</f>
        <v/>
      </c>
      <c r="E34" s="141" t="s">
        <v>146</v>
      </c>
      <c r="F34" s="98">
        <f>SUM(E21:E33)</f>
        <v>-55</v>
      </c>
      <c r="G34" s="69">
        <f>SUM(G21:G33)</f>
        <v>315</v>
      </c>
    </row>
    <row r="37" spans="2:8" x14ac:dyDescent="0.2">
      <c r="F37" s="99" t="s">
        <v>93</v>
      </c>
      <c r="G37" t="str">
        <f>CONCATENATE(G34," / ",COUNT(G21:G33)," = ",FIXED(G34/COUNT(G21:G33),1))</f>
        <v>315 / 6 = 52.5</v>
      </c>
    </row>
    <row r="38" spans="2:8" x14ac:dyDescent="0.2">
      <c r="F38" s="99"/>
    </row>
    <row r="39" spans="2:8" x14ac:dyDescent="0.2">
      <c r="F39" s="99" t="s">
        <v>94</v>
      </c>
      <c r="G39" t="str">
        <f>CONCATENATE(F34," / ",FIXED(G34/COUNT(G21:G33),1)," = ",FIXED(F34/(G34/COUNT(G21:G33)),2))</f>
        <v>-55 / 52.5 = -1.05</v>
      </c>
    </row>
    <row r="41" spans="2:8" x14ac:dyDescent="0.2">
      <c r="F41" s="118" t="s">
        <v>149</v>
      </c>
      <c r="G41" s="142" t="str">
        <f>CONCATENATE(FIXED(G34/COUNT(G21:G33),1)," / ",C34," = ",FIXED((G34/COUNT(G21:G33)/C34)*100,2),"%")</f>
        <v>52.5 / 805 = 6.52%</v>
      </c>
    </row>
  </sheetData>
  <phoneticPr fontId="0" type="noConversion"/>
  <printOptions horizontalCentered="1"/>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G24"/>
  <sheetViews>
    <sheetView showGridLines="0" workbookViewId="0"/>
  </sheetViews>
  <sheetFormatPr defaultRowHeight="12.75" x14ac:dyDescent="0.2"/>
  <cols>
    <col min="1" max="1" width="5.5703125" style="10" customWidth="1"/>
    <col min="2" max="2" width="5.28515625" style="11" bestFit="1" customWidth="1"/>
    <col min="3" max="3" width="10.7109375" style="11" bestFit="1" customWidth="1"/>
    <col min="4" max="4" width="12.28515625" style="11" bestFit="1" customWidth="1"/>
    <col min="5" max="5" width="9.7109375" style="11" customWidth="1"/>
    <col min="6" max="6" width="15.28515625" style="11" customWidth="1"/>
    <col min="7" max="7" width="11" style="11" customWidth="1"/>
    <col min="8" max="16384" width="9.140625" style="10"/>
  </cols>
  <sheetData>
    <row r="2" spans="2:7" x14ac:dyDescent="0.2">
      <c r="B2" s="60" t="s">
        <v>153</v>
      </c>
    </row>
    <row r="4" spans="2:7" x14ac:dyDescent="0.2">
      <c r="B4" s="32" t="s">
        <v>22</v>
      </c>
      <c r="C4" s="32" t="s">
        <v>23</v>
      </c>
      <c r="D4" s="32" t="s">
        <v>24</v>
      </c>
      <c r="E4" s="32" t="s">
        <v>25</v>
      </c>
      <c r="F4" s="32" t="s">
        <v>26</v>
      </c>
      <c r="G4" s="32" t="s">
        <v>27</v>
      </c>
    </row>
    <row r="5" spans="2:7" ht="18.75" customHeight="1" thickBot="1" x14ac:dyDescent="0.25">
      <c r="B5" s="33" t="s">
        <v>132</v>
      </c>
      <c r="C5" s="33" t="s">
        <v>21</v>
      </c>
      <c r="D5" s="33" t="s">
        <v>134</v>
      </c>
      <c r="E5" s="33" t="s">
        <v>135</v>
      </c>
      <c r="F5" s="33" t="s">
        <v>60</v>
      </c>
      <c r="G5" s="34" t="s">
        <v>28</v>
      </c>
    </row>
    <row r="6" spans="2:7" x14ac:dyDescent="0.2">
      <c r="B6" s="147">
        <v>1</v>
      </c>
      <c r="C6" s="147">
        <v>600</v>
      </c>
      <c r="D6" s="35">
        <f>B6*C6</f>
        <v>600</v>
      </c>
      <c r="E6" s="35">
        <f>B6^2</f>
        <v>1</v>
      </c>
      <c r="F6" s="35">
        <f>C6^2</f>
        <v>360000</v>
      </c>
      <c r="G6" s="36">
        <f t="shared" ref="G6:G17" si="0">$E$22+(B6*$E$21)</f>
        <v>801.28205128205116</v>
      </c>
    </row>
    <row r="7" spans="2:7" x14ac:dyDescent="0.2">
      <c r="B7" s="147">
        <v>2</v>
      </c>
      <c r="C7" s="147">
        <v>1550</v>
      </c>
      <c r="D7" s="35">
        <f t="shared" ref="D7:D17" si="1">B7*C7</f>
        <v>3100</v>
      </c>
      <c r="E7" s="35">
        <f t="shared" ref="E7:E17" si="2">B7^2</f>
        <v>4</v>
      </c>
      <c r="F7" s="35">
        <f t="shared" ref="F7:F17" si="3">C7^2</f>
        <v>2402500</v>
      </c>
      <c r="G7" s="36">
        <f t="shared" si="0"/>
        <v>1160.8974358974358</v>
      </c>
    </row>
    <row r="8" spans="2:7" x14ac:dyDescent="0.2">
      <c r="B8" s="147">
        <v>3</v>
      </c>
      <c r="C8" s="147">
        <v>1500</v>
      </c>
      <c r="D8" s="35">
        <f t="shared" si="1"/>
        <v>4500</v>
      </c>
      <c r="E8" s="35">
        <f t="shared" si="2"/>
        <v>9</v>
      </c>
      <c r="F8" s="35">
        <f t="shared" si="3"/>
        <v>2250000</v>
      </c>
      <c r="G8" s="36">
        <f t="shared" si="0"/>
        <v>1520.5128205128203</v>
      </c>
    </row>
    <row r="9" spans="2:7" x14ac:dyDescent="0.2">
      <c r="B9" s="147">
        <v>4</v>
      </c>
      <c r="C9" s="147">
        <v>1500</v>
      </c>
      <c r="D9" s="35">
        <f t="shared" si="1"/>
        <v>6000</v>
      </c>
      <c r="E9" s="35">
        <f t="shared" si="2"/>
        <v>16</v>
      </c>
      <c r="F9" s="35">
        <f t="shared" si="3"/>
        <v>2250000</v>
      </c>
      <c r="G9" s="36">
        <f t="shared" si="0"/>
        <v>1880.1282051282051</v>
      </c>
    </row>
    <row r="10" spans="2:7" x14ac:dyDescent="0.2">
      <c r="B10" s="147">
        <v>5</v>
      </c>
      <c r="C10" s="147">
        <v>2400</v>
      </c>
      <c r="D10" s="35">
        <f t="shared" si="1"/>
        <v>12000</v>
      </c>
      <c r="E10" s="35">
        <f t="shared" si="2"/>
        <v>25</v>
      </c>
      <c r="F10" s="35">
        <f t="shared" si="3"/>
        <v>5760000</v>
      </c>
      <c r="G10" s="36">
        <f t="shared" si="0"/>
        <v>2239.7435897435898</v>
      </c>
    </row>
    <row r="11" spans="2:7" x14ac:dyDescent="0.2">
      <c r="B11" s="147">
        <v>6</v>
      </c>
      <c r="C11" s="147">
        <v>3100</v>
      </c>
      <c r="D11" s="35">
        <f t="shared" si="1"/>
        <v>18600</v>
      </c>
      <c r="E11" s="35">
        <f t="shared" si="2"/>
        <v>36</v>
      </c>
      <c r="F11" s="35">
        <f t="shared" si="3"/>
        <v>9610000</v>
      </c>
      <c r="G11" s="36">
        <f t="shared" si="0"/>
        <v>2599.3589743589741</v>
      </c>
    </row>
    <row r="12" spans="2:7" x14ac:dyDescent="0.2">
      <c r="B12" s="147">
        <v>7</v>
      </c>
      <c r="C12" s="147">
        <v>2600</v>
      </c>
      <c r="D12" s="35">
        <f t="shared" si="1"/>
        <v>18200</v>
      </c>
      <c r="E12" s="35">
        <f t="shared" si="2"/>
        <v>49</v>
      </c>
      <c r="F12" s="35">
        <f t="shared" si="3"/>
        <v>6760000</v>
      </c>
      <c r="G12" s="36">
        <f t="shared" si="0"/>
        <v>2958.9743589743589</v>
      </c>
    </row>
    <row r="13" spans="2:7" x14ac:dyDescent="0.2">
      <c r="B13" s="147">
        <v>8</v>
      </c>
      <c r="C13" s="147">
        <v>2900</v>
      </c>
      <c r="D13" s="35">
        <f t="shared" si="1"/>
        <v>23200</v>
      </c>
      <c r="E13" s="35">
        <f t="shared" si="2"/>
        <v>64</v>
      </c>
      <c r="F13" s="35">
        <f t="shared" si="3"/>
        <v>8410000</v>
      </c>
      <c r="G13" s="36">
        <f t="shared" si="0"/>
        <v>3318.5897435897436</v>
      </c>
    </row>
    <row r="14" spans="2:7" x14ac:dyDescent="0.2">
      <c r="B14" s="147">
        <v>9</v>
      </c>
      <c r="C14" s="147">
        <v>3800</v>
      </c>
      <c r="D14" s="35">
        <f t="shared" si="1"/>
        <v>34200</v>
      </c>
      <c r="E14" s="35">
        <f t="shared" si="2"/>
        <v>81</v>
      </c>
      <c r="F14" s="35">
        <f t="shared" si="3"/>
        <v>14440000</v>
      </c>
      <c r="G14" s="36">
        <f t="shared" si="0"/>
        <v>3678.2051282051284</v>
      </c>
    </row>
    <row r="15" spans="2:7" x14ac:dyDescent="0.2">
      <c r="B15" s="147">
        <v>10</v>
      </c>
      <c r="C15" s="147">
        <v>4500</v>
      </c>
      <c r="D15" s="35">
        <f t="shared" si="1"/>
        <v>45000</v>
      </c>
      <c r="E15" s="35">
        <f t="shared" si="2"/>
        <v>100</v>
      </c>
      <c r="F15" s="35">
        <f t="shared" si="3"/>
        <v>20250000</v>
      </c>
      <c r="G15" s="36">
        <f t="shared" si="0"/>
        <v>4037.8205128205132</v>
      </c>
    </row>
    <row r="16" spans="2:7" x14ac:dyDescent="0.2">
      <c r="B16" s="147">
        <v>11</v>
      </c>
      <c r="C16" s="147">
        <v>4000</v>
      </c>
      <c r="D16" s="35">
        <f t="shared" si="1"/>
        <v>44000</v>
      </c>
      <c r="E16" s="35">
        <f t="shared" si="2"/>
        <v>121</v>
      </c>
      <c r="F16" s="35">
        <f t="shared" si="3"/>
        <v>16000000</v>
      </c>
      <c r="G16" s="36">
        <f t="shared" si="0"/>
        <v>4397.4358974358975</v>
      </c>
    </row>
    <row r="17" spans="2:7" ht="13.5" thickBot="1" x14ac:dyDescent="0.25">
      <c r="B17" s="148">
        <v>12</v>
      </c>
      <c r="C17" s="148">
        <v>4900</v>
      </c>
      <c r="D17" s="37">
        <f t="shared" si="1"/>
        <v>58800</v>
      </c>
      <c r="E17" s="37">
        <f t="shared" si="2"/>
        <v>144</v>
      </c>
      <c r="F17" s="37">
        <f t="shared" si="3"/>
        <v>24010000</v>
      </c>
      <c r="G17" s="40">
        <f t="shared" si="0"/>
        <v>4757.0512820512813</v>
      </c>
    </row>
    <row r="18" spans="2:7" ht="8.25" customHeight="1" x14ac:dyDescent="0.2">
      <c r="B18" s="41"/>
      <c r="C18" s="41"/>
      <c r="D18" s="41"/>
      <c r="E18" s="41"/>
      <c r="F18" s="41"/>
      <c r="G18" s="42"/>
    </row>
    <row r="19" spans="2:7" x14ac:dyDescent="0.2">
      <c r="B19" s="35">
        <f>SUM(B6:B17)</f>
        <v>78</v>
      </c>
      <c r="C19" s="35">
        <f>SUM(C6:C17)</f>
        <v>33350</v>
      </c>
      <c r="D19" s="35">
        <f>SUM(D6:D17)</f>
        <v>268200</v>
      </c>
      <c r="E19" s="35">
        <f>SUM(E6:E17)</f>
        <v>650</v>
      </c>
      <c r="F19" s="35">
        <f>SUM(F6:F17)</f>
        <v>112502500</v>
      </c>
      <c r="G19" s="38"/>
    </row>
    <row r="21" spans="2:7" x14ac:dyDescent="0.2">
      <c r="C21" s="43">
        <f>B19/12</f>
        <v>6.5</v>
      </c>
      <c r="D21" s="39" t="s">
        <v>133</v>
      </c>
      <c r="E21" s="21">
        <f>(D19-(12*C21*C22))/(E19-(12*C21^2))</f>
        <v>359.61538461538464</v>
      </c>
      <c r="F21" s="39" t="s">
        <v>30</v>
      </c>
    </row>
    <row r="22" spans="2:7" x14ac:dyDescent="0.2">
      <c r="C22" s="43">
        <f>C19/12</f>
        <v>2779.1666666666665</v>
      </c>
      <c r="D22" s="39" t="s">
        <v>29</v>
      </c>
      <c r="E22" s="21">
        <f>C22-(E21*C21)</f>
        <v>441.66666666666652</v>
      </c>
      <c r="F22" s="39" t="s">
        <v>31</v>
      </c>
    </row>
    <row r="24" spans="2:7" x14ac:dyDescent="0.2">
      <c r="C24" s="31" t="str">
        <f>CONCATENATE("Regression Equation is Y = ",FIXED(E22,2),IF(E21&lt;0," - "," + "),FIXED(E21,1),"*t")</f>
        <v>Regression Equation is Y = 441.67 + 359.6*t</v>
      </c>
    </row>
  </sheetData>
  <phoneticPr fontId="0" type="noConversion"/>
  <printOptions horizontalCentered="1"/>
  <pageMargins left="1" right="1"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6"/>
  <sheetViews>
    <sheetView zoomScaleNormal="100" workbookViewId="0"/>
  </sheetViews>
  <sheetFormatPr defaultRowHeight="12.75" x14ac:dyDescent="0.2"/>
  <cols>
    <col min="1" max="1" width="5" customWidth="1"/>
    <col min="2" max="2" width="17.28515625" customWidth="1"/>
    <col min="7" max="7" width="12.5703125" customWidth="1"/>
  </cols>
  <sheetData>
    <row r="2" spans="2:3" x14ac:dyDescent="0.2">
      <c r="B2" s="19" t="s">
        <v>154</v>
      </c>
    </row>
    <row r="4" spans="2:3" x14ac:dyDescent="0.2">
      <c r="B4" s="113" t="s">
        <v>124</v>
      </c>
      <c r="C4" s="113" t="s">
        <v>125</v>
      </c>
    </row>
    <row r="5" spans="2:3" x14ac:dyDescent="0.2">
      <c r="B5" s="35">
        <v>1</v>
      </c>
      <c r="C5" s="35">
        <v>600</v>
      </c>
    </row>
    <row r="6" spans="2:3" x14ac:dyDescent="0.2">
      <c r="B6" s="35">
        <v>2</v>
      </c>
      <c r="C6" s="35">
        <v>1550</v>
      </c>
    </row>
    <row r="7" spans="2:3" x14ac:dyDescent="0.2">
      <c r="B7" s="35">
        <v>3</v>
      </c>
      <c r="C7" s="35">
        <v>1500</v>
      </c>
    </row>
    <row r="8" spans="2:3" x14ac:dyDescent="0.2">
      <c r="B8" s="35">
        <v>4</v>
      </c>
      <c r="C8" s="35">
        <v>1500</v>
      </c>
    </row>
    <row r="9" spans="2:3" x14ac:dyDescent="0.2">
      <c r="B9" s="35">
        <v>5</v>
      </c>
      <c r="C9" s="35">
        <v>2400</v>
      </c>
    </row>
    <row r="10" spans="2:3" x14ac:dyDescent="0.2">
      <c r="B10" s="35">
        <v>6</v>
      </c>
      <c r="C10" s="35">
        <v>3100</v>
      </c>
    </row>
    <row r="11" spans="2:3" x14ac:dyDescent="0.2">
      <c r="B11" s="35">
        <v>7</v>
      </c>
      <c r="C11" s="35">
        <v>2600</v>
      </c>
    </row>
    <row r="12" spans="2:3" x14ac:dyDescent="0.2">
      <c r="B12" s="35">
        <v>8</v>
      </c>
      <c r="C12" s="35">
        <v>2900</v>
      </c>
    </row>
    <row r="13" spans="2:3" x14ac:dyDescent="0.2">
      <c r="B13" s="35">
        <v>9</v>
      </c>
      <c r="C13" s="35">
        <v>3800</v>
      </c>
    </row>
    <row r="14" spans="2:3" x14ac:dyDescent="0.2">
      <c r="B14" s="35">
        <v>10</v>
      </c>
      <c r="C14" s="35">
        <v>4500</v>
      </c>
    </row>
    <row r="15" spans="2:3" x14ac:dyDescent="0.2">
      <c r="B15" s="35">
        <v>11</v>
      </c>
      <c r="C15" s="35">
        <v>4000</v>
      </c>
    </row>
    <row r="16" spans="2:3" x14ac:dyDescent="0.2">
      <c r="B16" s="41">
        <v>12</v>
      </c>
      <c r="C16" s="41">
        <v>4900</v>
      </c>
    </row>
    <row r="19" spans="2:7" x14ac:dyDescent="0.2">
      <c r="B19" t="s">
        <v>37</v>
      </c>
    </row>
    <row r="20" spans="2:7" ht="13.5" thickBot="1" x14ac:dyDescent="0.25"/>
    <row r="21" spans="2:7" x14ac:dyDescent="0.2">
      <c r="B21" s="17" t="s">
        <v>38</v>
      </c>
      <c r="C21" s="17"/>
    </row>
    <row r="22" spans="2:7" x14ac:dyDescent="0.2">
      <c r="B22" s="14" t="s">
        <v>39</v>
      </c>
      <c r="C22" s="14">
        <v>0.96601558039069868</v>
      </c>
    </row>
    <row r="23" spans="2:7" x14ac:dyDescent="0.2">
      <c r="B23" s="14" t="s">
        <v>40</v>
      </c>
      <c r="C23" s="14">
        <v>0.93318610155757853</v>
      </c>
    </row>
    <row r="24" spans="2:7" x14ac:dyDescent="0.2">
      <c r="B24" s="14" t="s">
        <v>41</v>
      </c>
      <c r="C24" s="14">
        <v>0.92650471171333637</v>
      </c>
    </row>
    <row r="25" spans="2:7" x14ac:dyDescent="0.2">
      <c r="B25" s="14" t="s">
        <v>42</v>
      </c>
      <c r="C25" s="14">
        <v>363.87779718203643</v>
      </c>
    </row>
    <row r="26" spans="2:7" ht="13.5" thickBot="1" x14ac:dyDescent="0.25">
      <c r="B26" s="15" t="s">
        <v>43</v>
      </c>
      <c r="C26" s="15">
        <v>12</v>
      </c>
    </row>
    <row r="28" spans="2:7" ht="13.5" thickBot="1" x14ac:dyDescent="0.25">
      <c r="B28" t="s">
        <v>44</v>
      </c>
    </row>
    <row r="29" spans="2:7" x14ac:dyDescent="0.2">
      <c r="B29" s="16"/>
      <c r="C29" s="16" t="s">
        <v>48</v>
      </c>
      <c r="D29" s="16" t="s">
        <v>49</v>
      </c>
      <c r="E29" s="16" t="s">
        <v>50</v>
      </c>
      <c r="F29" s="16" t="s">
        <v>18</v>
      </c>
      <c r="G29" s="16" t="s">
        <v>51</v>
      </c>
    </row>
    <row r="30" spans="2:7" x14ac:dyDescent="0.2">
      <c r="B30" s="14" t="s">
        <v>45</v>
      </c>
      <c r="C30" s="14">
        <v>1</v>
      </c>
      <c r="D30" s="14">
        <v>18493221.153846152</v>
      </c>
      <c r="E30" s="14">
        <v>18493221.153846152</v>
      </c>
      <c r="F30" s="14">
        <v>139.66945849773668</v>
      </c>
      <c r="G30" s="14">
        <v>3.3720241192852534E-7</v>
      </c>
    </row>
    <row r="31" spans="2:7" x14ac:dyDescent="0.2">
      <c r="B31" s="14" t="s">
        <v>46</v>
      </c>
      <c r="C31" s="14">
        <v>10</v>
      </c>
      <c r="D31" s="14">
        <v>1324070.5128205125</v>
      </c>
      <c r="E31" s="14">
        <v>132407.05128205125</v>
      </c>
      <c r="F31" s="14"/>
      <c r="G31" s="14"/>
    </row>
    <row r="32" spans="2:7" ht="13.5" thickBot="1" x14ac:dyDescent="0.25">
      <c r="B32" s="15" t="s">
        <v>47</v>
      </c>
      <c r="C32" s="15">
        <v>11</v>
      </c>
      <c r="D32" s="15">
        <v>19817291.666666664</v>
      </c>
      <c r="E32" s="15"/>
      <c r="F32" s="15"/>
      <c r="G32" s="15"/>
    </row>
    <row r="33" spans="2:10" ht="13.5" thickBot="1" x14ac:dyDescent="0.25"/>
    <row r="34" spans="2:10" x14ac:dyDescent="0.2">
      <c r="B34" s="16"/>
      <c r="C34" s="16" t="s">
        <v>52</v>
      </c>
      <c r="D34" s="16" t="s">
        <v>42</v>
      </c>
      <c r="E34" s="16" t="s">
        <v>53</v>
      </c>
      <c r="F34" s="16" t="s">
        <v>54</v>
      </c>
      <c r="G34" s="16" t="s">
        <v>55</v>
      </c>
      <c r="H34" s="16" t="s">
        <v>56</v>
      </c>
      <c r="I34" s="16" t="s">
        <v>57</v>
      </c>
      <c r="J34" s="16" t="s">
        <v>58</v>
      </c>
    </row>
    <row r="35" spans="2:10" x14ac:dyDescent="0.2">
      <c r="B35" s="14" t="s">
        <v>20</v>
      </c>
      <c r="C35" s="14">
        <v>441.66666666666703</v>
      </c>
      <c r="D35" s="14">
        <v>223.95130294706053</v>
      </c>
      <c r="E35" s="14">
        <v>1.9721549321419749</v>
      </c>
      <c r="F35" s="14">
        <v>7.686869451877118E-2</v>
      </c>
      <c r="G35" s="14">
        <v>-57.328018732126452</v>
      </c>
      <c r="H35" s="14">
        <v>940.66135206546051</v>
      </c>
      <c r="I35" s="14">
        <v>-57.328018732126452</v>
      </c>
      <c r="J35" s="14">
        <v>940.66135206546051</v>
      </c>
    </row>
    <row r="36" spans="2:10" ht="13.5" thickBot="1" x14ac:dyDescent="0.25">
      <c r="B36" s="15" t="s">
        <v>59</v>
      </c>
      <c r="C36" s="15">
        <v>359.61538461538458</v>
      </c>
      <c r="D36" s="15">
        <v>30.428990051245869</v>
      </c>
      <c r="E36" s="15">
        <v>11.818183383995049</v>
      </c>
      <c r="F36" s="15">
        <v>3.3720241192852518E-7</v>
      </c>
      <c r="G36" s="15">
        <v>291.81535792291322</v>
      </c>
      <c r="H36" s="15">
        <v>427.41541130785595</v>
      </c>
      <c r="I36" s="15">
        <v>291.81535792291322</v>
      </c>
      <c r="J36" s="15">
        <v>427.41541130785595</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2:G66"/>
  <sheetViews>
    <sheetView showGridLines="0" workbookViewId="0"/>
  </sheetViews>
  <sheetFormatPr defaultRowHeight="12.75" x14ac:dyDescent="0.2"/>
  <cols>
    <col min="1" max="1" width="6" style="10" customWidth="1"/>
    <col min="2" max="2" width="6.140625" style="11" bestFit="1" customWidth="1"/>
    <col min="3" max="3" width="8.42578125" style="11" bestFit="1" customWidth="1"/>
    <col min="4" max="5" width="9.140625" style="11"/>
    <col min="6" max="7" width="11.7109375" style="11" customWidth="1"/>
    <col min="8" max="16384" width="9.140625" style="10"/>
  </cols>
  <sheetData>
    <row r="2" spans="2:6" x14ac:dyDescent="0.2">
      <c r="B2" s="60" t="s">
        <v>155</v>
      </c>
    </row>
    <row r="3" spans="2:6" x14ac:dyDescent="0.2">
      <c r="B3" s="31"/>
    </row>
    <row r="4" spans="2:6" ht="25.5" x14ac:dyDescent="0.2">
      <c r="D4" s="44" t="s">
        <v>33</v>
      </c>
      <c r="E4" s="46">
        <f>E5/50</f>
        <v>1.4</v>
      </c>
      <c r="F4" s="44" t="s">
        <v>35</v>
      </c>
    </row>
    <row r="5" spans="2:6" x14ac:dyDescent="0.2">
      <c r="B5" s="11">
        <v>0.95</v>
      </c>
      <c r="C5" s="45">
        <v>1</v>
      </c>
      <c r="D5" s="29">
        <f>-50*E4</f>
        <v>-70</v>
      </c>
      <c r="E5" s="13">
        <v>70</v>
      </c>
      <c r="F5" s="21">
        <f>1-(0.05*$E$4)</f>
        <v>0.93</v>
      </c>
    </row>
    <row r="6" spans="2:6" x14ac:dyDescent="0.2">
      <c r="B6" s="11">
        <v>0.9</v>
      </c>
      <c r="C6" s="45">
        <v>2</v>
      </c>
      <c r="D6" s="29">
        <f>-100*E4</f>
        <v>-140</v>
      </c>
      <c r="F6" s="21">
        <f>1-(0.1*$E$4)</f>
        <v>0.86</v>
      </c>
    </row>
    <row r="7" spans="2:6" x14ac:dyDescent="0.2">
      <c r="B7" s="11">
        <v>0.8</v>
      </c>
      <c r="C7" s="45">
        <v>3</v>
      </c>
      <c r="D7" s="29">
        <f>-200*E4</f>
        <v>-280</v>
      </c>
      <c r="F7" s="21">
        <f>1-(0.2*$E$4)</f>
        <v>0.72</v>
      </c>
    </row>
    <row r="8" spans="2:6" x14ac:dyDescent="0.2">
      <c r="B8" s="11">
        <v>0.6</v>
      </c>
      <c r="C8" s="45">
        <v>4</v>
      </c>
      <c r="D8" s="29">
        <f>-300*E4</f>
        <v>-420</v>
      </c>
      <c r="F8" s="21">
        <f>1-(0.4*$E$4)</f>
        <v>0.44000000000000006</v>
      </c>
    </row>
    <row r="9" spans="2:6" x14ac:dyDescent="0.2">
      <c r="B9" s="11">
        <v>0.8</v>
      </c>
      <c r="C9" s="45">
        <v>5</v>
      </c>
      <c r="D9" s="29">
        <f>-200*E4</f>
        <v>-280</v>
      </c>
      <c r="F9" s="21">
        <f>1-(0.2*$E$4)</f>
        <v>0.72</v>
      </c>
    </row>
    <row r="10" spans="2:6" x14ac:dyDescent="0.2">
      <c r="B10" s="11">
        <v>0.9</v>
      </c>
      <c r="C10" s="45">
        <v>6</v>
      </c>
      <c r="D10" s="29">
        <f>-100*E4</f>
        <v>-140</v>
      </c>
      <c r="F10" s="21">
        <f>1-(0.1*$E$4)</f>
        <v>0.86</v>
      </c>
    </row>
    <row r="11" spans="2:6" x14ac:dyDescent="0.2">
      <c r="B11" s="11">
        <v>1.1000000000000001</v>
      </c>
      <c r="C11" s="45">
        <v>7</v>
      </c>
      <c r="D11" s="29">
        <f>100*E4</f>
        <v>140</v>
      </c>
      <c r="F11" s="21">
        <f>1+(0.1*$E$4)</f>
        <v>1.1399999999999999</v>
      </c>
    </row>
    <row r="12" spans="2:6" x14ac:dyDescent="0.2">
      <c r="B12" s="11">
        <v>1.2</v>
      </c>
      <c r="C12" s="45">
        <v>8</v>
      </c>
      <c r="D12" s="29">
        <f>200*E4</f>
        <v>280</v>
      </c>
      <c r="F12" s="21">
        <f>1+(0.2*$E$4)</f>
        <v>1.28</v>
      </c>
    </row>
    <row r="13" spans="2:6" x14ac:dyDescent="0.2">
      <c r="B13" s="11">
        <v>1.4</v>
      </c>
      <c r="C13" s="45">
        <v>9</v>
      </c>
      <c r="D13" s="29">
        <f>300*E4</f>
        <v>420</v>
      </c>
      <c r="F13" s="21">
        <f>1+(0.4*$E$4)</f>
        <v>1.56</v>
      </c>
    </row>
    <row r="14" spans="2:6" x14ac:dyDescent="0.2">
      <c r="B14" s="11">
        <v>1.2</v>
      </c>
      <c r="C14" s="45">
        <v>10</v>
      </c>
      <c r="D14" s="29">
        <f>200*E4</f>
        <v>280</v>
      </c>
      <c r="F14" s="21">
        <f>1+(0.2*$E$4)</f>
        <v>1.28</v>
      </c>
    </row>
    <row r="15" spans="2:6" x14ac:dyDescent="0.2">
      <c r="B15" s="11">
        <v>1.1000000000000001</v>
      </c>
      <c r="C15" s="45">
        <v>11</v>
      </c>
      <c r="D15" s="29">
        <f>100*E4</f>
        <v>140</v>
      </c>
      <c r="F15" s="21">
        <f>1+(0.1*$E$4)</f>
        <v>1.1399999999999999</v>
      </c>
    </row>
    <row r="16" spans="2:6" x14ac:dyDescent="0.2">
      <c r="B16" s="11">
        <v>1.05</v>
      </c>
      <c r="C16" s="45">
        <v>12</v>
      </c>
      <c r="D16" s="29">
        <f>50*E4</f>
        <v>70</v>
      </c>
      <c r="F16" s="21">
        <f>1+(0.05*$E$4)</f>
        <v>1.07</v>
      </c>
    </row>
    <row r="17" spans="2:7" x14ac:dyDescent="0.2">
      <c r="D17" s="29"/>
      <c r="F17" s="29"/>
    </row>
    <row r="18" spans="2:7" ht="26.25" thickBot="1" x14ac:dyDescent="0.25">
      <c r="B18" s="28" t="s">
        <v>5</v>
      </c>
      <c r="C18" s="28" t="s">
        <v>32</v>
      </c>
      <c r="D18" s="47" t="s">
        <v>33</v>
      </c>
      <c r="E18" s="47" t="s">
        <v>34</v>
      </c>
      <c r="F18" s="47" t="s">
        <v>35</v>
      </c>
      <c r="G18" s="47" t="s">
        <v>36</v>
      </c>
    </row>
    <row r="19" spans="2:7" x14ac:dyDescent="0.2">
      <c r="B19" s="11">
        <v>1</v>
      </c>
      <c r="C19" s="11">
        <v>1000</v>
      </c>
      <c r="D19" s="29">
        <f>D5</f>
        <v>-70</v>
      </c>
      <c r="E19" s="29">
        <f>C19+D19</f>
        <v>930</v>
      </c>
      <c r="F19" s="21">
        <f>F5</f>
        <v>0.93</v>
      </c>
      <c r="G19" s="11">
        <f>C19*F19</f>
        <v>930</v>
      </c>
    </row>
    <row r="20" spans="2:7" x14ac:dyDescent="0.2">
      <c r="B20" s="11">
        <v>2</v>
      </c>
      <c r="C20" s="11">
        <v>1050</v>
      </c>
      <c r="D20" s="29">
        <f t="shared" ref="D20:F30" si="0">D6</f>
        <v>-140</v>
      </c>
      <c r="E20" s="29">
        <f t="shared" ref="E20:E66" si="1">C20+D20</f>
        <v>910</v>
      </c>
      <c r="F20" s="21">
        <f t="shared" si="0"/>
        <v>0.86</v>
      </c>
      <c r="G20" s="11">
        <f t="shared" ref="G20:G66" si="2">C20*F20</f>
        <v>903</v>
      </c>
    </row>
    <row r="21" spans="2:7" x14ac:dyDescent="0.2">
      <c r="B21" s="11">
        <v>3</v>
      </c>
      <c r="C21" s="11">
        <v>1100</v>
      </c>
      <c r="D21" s="29">
        <f t="shared" si="0"/>
        <v>-280</v>
      </c>
      <c r="E21" s="29">
        <f t="shared" si="1"/>
        <v>820</v>
      </c>
      <c r="F21" s="21">
        <f t="shared" si="0"/>
        <v>0.72</v>
      </c>
      <c r="G21" s="11">
        <f t="shared" si="2"/>
        <v>792</v>
      </c>
    </row>
    <row r="22" spans="2:7" x14ac:dyDescent="0.2">
      <c r="B22" s="11">
        <v>4</v>
      </c>
      <c r="C22" s="11">
        <v>1150</v>
      </c>
      <c r="D22" s="29">
        <f t="shared" si="0"/>
        <v>-420</v>
      </c>
      <c r="E22" s="29">
        <f t="shared" si="1"/>
        <v>730</v>
      </c>
      <c r="F22" s="21">
        <f t="shared" si="0"/>
        <v>0.44000000000000006</v>
      </c>
      <c r="G22" s="11">
        <f t="shared" si="2"/>
        <v>506.00000000000006</v>
      </c>
    </row>
    <row r="23" spans="2:7" x14ac:dyDescent="0.2">
      <c r="B23" s="11">
        <v>5</v>
      </c>
      <c r="C23" s="11">
        <v>1200</v>
      </c>
      <c r="D23" s="29">
        <f t="shared" si="0"/>
        <v>-280</v>
      </c>
      <c r="E23" s="29">
        <f t="shared" si="1"/>
        <v>920</v>
      </c>
      <c r="F23" s="21">
        <f t="shared" si="0"/>
        <v>0.72</v>
      </c>
      <c r="G23" s="11">
        <f t="shared" si="2"/>
        <v>864</v>
      </c>
    </row>
    <row r="24" spans="2:7" x14ac:dyDescent="0.2">
      <c r="B24" s="11">
        <v>6</v>
      </c>
      <c r="C24" s="11">
        <v>1250</v>
      </c>
      <c r="D24" s="29">
        <f t="shared" si="0"/>
        <v>-140</v>
      </c>
      <c r="E24" s="29">
        <f t="shared" si="1"/>
        <v>1110</v>
      </c>
      <c r="F24" s="21">
        <f t="shared" si="0"/>
        <v>0.86</v>
      </c>
      <c r="G24" s="11">
        <f t="shared" si="2"/>
        <v>1075</v>
      </c>
    </row>
    <row r="25" spans="2:7" x14ac:dyDescent="0.2">
      <c r="B25" s="11">
        <v>7</v>
      </c>
      <c r="C25" s="11">
        <v>1300</v>
      </c>
      <c r="D25" s="29">
        <f t="shared" si="0"/>
        <v>140</v>
      </c>
      <c r="E25" s="29">
        <f t="shared" si="1"/>
        <v>1440</v>
      </c>
      <c r="F25" s="21">
        <f t="shared" si="0"/>
        <v>1.1399999999999999</v>
      </c>
      <c r="G25" s="11">
        <f t="shared" si="2"/>
        <v>1481.9999999999998</v>
      </c>
    </row>
    <row r="26" spans="2:7" x14ac:dyDescent="0.2">
      <c r="B26" s="11">
        <v>8</v>
      </c>
      <c r="C26" s="11">
        <v>1350</v>
      </c>
      <c r="D26" s="29">
        <f t="shared" si="0"/>
        <v>280</v>
      </c>
      <c r="E26" s="29">
        <f t="shared" si="1"/>
        <v>1630</v>
      </c>
      <c r="F26" s="21">
        <f t="shared" si="0"/>
        <v>1.28</v>
      </c>
      <c r="G26" s="11">
        <f t="shared" si="2"/>
        <v>1728</v>
      </c>
    </row>
    <row r="27" spans="2:7" x14ac:dyDescent="0.2">
      <c r="B27" s="11">
        <v>9</v>
      </c>
      <c r="C27" s="11">
        <v>1400</v>
      </c>
      <c r="D27" s="29">
        <f t="shared" si="0"/>
        <v>420</v>
      </c>
      <c r="E27" s="29">
        <f t="shared" si="1"/>
        <v>1820</v>
      </c>
      <c r="F27" s="21">
        <f t="shared" si="0"/>
        <v>1.56</v>
      </c>
      <c r="G27" s="11">
        <f t="shared" si="2"/>
        <v>2184</v>
      </c>
    </row>
    <row r="28" spans="2:7" x14ac:dyDescent="0.2">
      <c r="B28" s="11">
        <v>10</v>
      </c>
      <c r="C28" s="11">
        <v>1450</v>
      </c>
      <c r="D28" s="29">
        <f t="shared" si="0"/>
        <v>280</v>
      </c>
      <c r="E28" s="29">
        <f t="shared" si="1"/>
        <v>1730</v>
      </c>
      <c r="F28" s="21">
        <f t="shared" si="0"/>
        <v>1.28</v>
      </c>
      <c r="G28" s="11">
        <f t="shared" si="2"/>
        <v>1856</v>
      </c>
    </row>
    <row r="29" spans="2:7" x14ac:dyDescent="0.2">
      <c r="B29" s="11">
        <v>11</v>
      </c>
      <c r="C29" s="11">
        <v>1500</v>
      </c>
      <c r="D29" s="29">
        <f t="shared" si="0"/>
        <v>140</v>
      </c>
      <c r="E29" s="29">
        <f t="shared" si="1"/>
        <v>1640</v>
      </c>
      <c r="F29" s="21">
        <f t="shared" si="0"/>
        <v>1.1399999999999999</v>
      </c>
      <c r="G29" s="11">
        <f t="shared" si="2"/>
        <v>1709.9999999999998</v>
      </c>
    </row>
    <row r="30" spans="2:7" x14ac:dyDescent="0.2">
      <c r="B30" s="11">
        <v>12</v>
      </c>
      <c r="C30" s="11">
        <v>1550</v>
      </c>
      <c r="D30" s="29">
        <f t="shared" si="0"/>
        <v>70</v>
      </c>
      <c r="E30" s="29">
        <f t="shared" si="1"/>
        <v>1620</v>
      </c>
      <c r="F30" s="21">
        <f t="shared" si="0"/>
        <v>1.07</v>
      </c>
      <c r="G30" s="11">
        <f t="shared" si="2"/>
        <v>1658.5</v>
      </c>
    </row>
    <row r="31" spans="2:7" x14ac:dyDescent="0.2">
      <c r="B31" s="11">
        <v>13</v>
      </c>
      <c r="C31" s="11">
        <v>1600</v>
      </c>
      <c r="D31" s="29">
        <f>D5</f>
        <v>-70</v>
      </c>
      <c r="E31" s="29">
        <f t="shared" si="1"/>
        <v>1530</v>
      </c>
      <c r="F31" s="21">
        <f>F5</f>
        <v>0.93</v>
      </c>
      <c r="G31" s="11">
        <f t="shared" si="2"/>
        <v>1488</v>
      </c>
    </row>
    <row r="32" spans="2:7" x14ac:dyDescent="0.2">
      <c r="B32" s="11">
        <v>14</v>
      </c>
      <c r="C32" s="11">
        <v>1650</v>
      </c>
      <c r="D32" s="29">
        <f t="shared" ref="D32:F42" si="3">D6</f>
        <v>-140</v>
      </c>
      <c r="E32" s="29">
        <f t="shared" si="1"/>
        <v>1510</v>
      </c>
      <c r="F32" s="21">
        <f t="shared" si="3"/>
        <v>0.86</v>
      </c>
      <c r="G32" s="11">
        <f t="shared" si="2"/>
        <v>1419</v>
      </c>
    </row>
    <row r="33" spans="2:7" x14ac:dyDescent="0.2">
      <c r="B33" s="11">
        <v>15</v>
      </c>
      <c r="C33" s="11">
        <v>1700</v>
      </c>
      <c r="D33" s="29">
        <f t="shared" si="3"/>
        <v>-280</v>
      </c>
      <c r="E33" s="29">
        <f t="shared" si="1"/>
        <v>1420</v>
      </c>
      <c r="F33" s="21">
        <f t="shared" si="3"/>
        <v>0.72</v>
      </c>
      <c r="G33" s="11">
        <f t="shared" si="2"/>
        <v>1224</v>
      </c>
    </row>
    <row r="34" spans="2:7" x14ac:dyDescent="0.2">
      <c r="B34" s="11">
        <v>16</v>
      </c>
      <c r="C34" s="11">
        <v>1750</v>
      </c>
      <c r="D34" s="29">
        <f t="shared" si="3"/>
        <v>-420</v>
      </c>
      <c r="E34" s="29">
        <f t="shared" si="1"/>
        <v>1330</v>
      </c>
      <c r="F34" s="21">
        <f t="shared" si="3"/>
        <v>0.44000000000000006</v>
      </c>
      <c r="G34" s="11">
        <f t="shared" si="2"/>
        <v>770.00000000000011</v>
      </c>
    </row>
    <row r="35" spans="2:7" x14ac:dyDescent="0.2">
      <c r="B35" s="11">
        <v>17</v>
      </c>
      <c r="C35" s="11">
        <v>1800</v>
      </c>
      <c r="D35" s="29">
        <f t="shared" si="3"/>
        <v>-280</v>
      </c>
      <c r="E35" s="29">
        <f t="shared" si="1"/>
        <v>1520</v>
      </c>
      <c r="F35" s="21">
        <f t="shared" si="3"/>
        <v>0.72</v>
      </c>
      <c r="G35" s="11">
        <f t="shared" si="2"/>
        <v>1296</v>
      </c>
    </row>
    <row r="36" spans="2:7" x14ac:dyDescent="0.2">
      <c r="B36" s="11">
        <v>18</v>
      </c>
      <c r="C36" s="11">
        <v>1850</v>
      </c>
      <c r="D36" s="29">
        <f t="shared" si="3"/>
        <v>-140</v>
      </c>
      <c r="E36" s="29">
        <f t="shared" si="1"/>
        <v>1710</v>
      </c>
      <c r="F36" s="21">
        <f t="shared" si="3"/>
        <v>0.86</v>
      </c>
      <c r="G36" s="11">
        <f t="shared" si="2"/>
        <v>1591</v>
      </c>
    </row>
    <row r="37" spans="2:7" x14ac:dyDescent="0.2">
      <c r="B37" s="11">
        <v>19</v>
      </c>
      <c r="C37" s="11">
        <v>1900</v>
      </c>
      <c r="D37" s="29">
        <f t="shared" si="3"/>
        <v>140</v>
      </c>
      <c r="E37" s="29">
        <f t="shared" si="1"/>
        <v>2040</v>
      </c>
      <c r="F37" s="21">
        <f t="shared" si="3"/>
        <v>1.1399999999999999</v>
      </c>
      <c r="G37" s="11">
        <f t="shared" si="2"/>
        <v>2166</v>
      </c>
    </row>
    <row r="38" spans="2:7" x14ac:dyDescent="0.2">
      <c r="B38" s="11">
        <v>20</v>
      </c>
      <c r="C38" s="11">
        <v>1950</v>
      </c>
      <c r="D38" s="29">
        <f t="shared" si="3"/>
        <v>280</v>
      </c>
      <c r="E38" s="29">
        <f t="shared" si="1"/>
        <v>2230</v>
      </c>
      <c r="F38" s="21">
        <f t="shared" si="3"/>
        <v>1.28</v>
      </c>
      <c r="G38" s="11">
        <f t="shared" si="2"/>
        <v>2496</v>
      </c>
    </row>
    <row r="39" spans="2:7" x14ac:dyDescent="0.2">
      <c r="B39" s="11">
        <v>21</v>
      </c>
      <c r="C39" s="11">
        <v>2000</v>
      </c>
      <c r="D39" s="29">
        <f t="shared" si="3"/>
        <v>420</v>
      </c>
      <c r="E39" s="29">
        <f t="shared" si="1"/>
        <v>2420</v>
      </c>
      <c r="F39" s="21">
        <f t="shared" si="3"/>
        <v>1.56</v>
      </c>
      <c r="G39" s="11">
        <f t="shared" si="2"/>
        <v>3120</v>
      </c>
    </row>
    <row r="40" spans="2:7" x14ac:dyDescent="0.2">
      <c r="B40" s="11">
        <v>22</v>
      </c>
      <c r="C40" s="11">
        <v>2050</v>
      </c>
      <c r="D40" s="29">
        <f t="shared" si="3"/>
        <v>280</v>
      </c>
      <c r="E40" s="29">
        <f t="shared" si="1"/>
        <v>2330</v>
      </c>
      <c r="F40" s="21">
        <f t="shared" si="3"/>
        <v>1.28</v>
      </c>
      <c r="G40" s="11">
        <f t="shared" si="2"/>
        <v>2624</v>
      </c>
    </row>
    <row r="41" spans="2:7" x14ac:dyDescent="0.2">
      <c r="B41" s="11">
        <v>23</v>
      </c>
      <c r="C41" s="11">
        <v>2100</v>
      </c>
      <c r="D41" s="29">
        <f t="shared" si="3"/>
        <v>140</v>
      </c>
      <c r="E41" s="29">
        <f t="shared" si="1"/>
        <v>2240</v>
      </c>
      <c r="F41" s="21">
        <f t="shared" si="3"/>
        <v>1.1399999999999999</v>
      </c>
      <c r="G41" s="11">
        <f t="shared" si="2"/>
        <v>2394</v>
      </c>
    </row>
    <row r="42" spans="2:7" x14ac:dyDescent="0.2">
      <c r="B42" s="11">
        <v>24</v>
      </c>
      <c r="C42" s="11">
        <v>2150</v>
      </c>
      <c r="D42" s="29">
        <f t="shared" si="3"/>
        <v>70</v>
      </c>
      <c r="E42" s="29">
        <f t="shared" si="1"/>
        <v>2220</v>
      </c>
      <c r="F42" s="21">
        <f t="shared" si="3"/>
        <v>1.07</v>
      </c>
      <c r="G42" s="11">
        <f t="shared" si="2"/>
        <v>2300.5</v>
      </c>
    </row>
    <row r="43" spans="2:7" x14ac:dyDescent="0.2">
      <c r="B43" s="11">
        <v>25</v>
      </c>
      <c r="C43" s="11">
        <v>2200</v>
      </c>
      <c r="D43" s="29">
        <f>D5</f>
        <v>-70</v>
      </c>
      <c r="E43" s="29">
        <f t="shared" si="1"/>
        <v>2130</v>
      </c>
      <c r="F43" s="21">
        <f>F5</f>
        <v>0.93</v>
      </c>
      <c r="G43" s="11">
        <f t="shared" si="2"/>
        <v>2046</v>
      </c>
    </row>
    <row r="44" spans="2:7" x14ac:dyDescent="0.2">
      <c r="B44" s="11">
        <v>26</v>
      </c>
      <c r="C44" s="11">
        <v>2250</v>
      </c>
      <c r="D44" s="29">
        <f t="shared" ref="D44:F54" si="4">D6</f>
        <v>-140</v>
      </c>
      <c r="E44" s="29">
        <f t="shared" si="1"/>
        <v>2110</v>
      </c>
      <c r="F44" s="21">
        <f t="shared" si="4"/>
        <v>0.86</v>
      </c>
      <c r="G44" s="11">
        <f t="shared" si="2"/>
        <v>1935</v>
      </c>
    </row>
    <row r="45" spans="2:7" x14ac:dyDescent="0.2">
      <c r="B45" s="11">
        <v>27</v>
      </c>
      <c r="C45" s="11">
        <v>2300</v>
      </c>
      <c r="D45" s="29">
        <f t="shared" si="4"/>
        <v>-280</v>
      </c>
      <c r="E45" s="29">
        <f t="shared" si="1"/>
        <v>2020</v>
      </c>
      <c r="F45" s="21">
        <f t="shared" si="4"/>
        <v>0.72</v>
      </c>
      <c r="G45" s="11">
        <f t="shared" si="2"/>
        <v>1656</v>
      </c>
    </row>
    <row r="46" spans="2:7" x14ac:dyDescent="0.2">
      <c r="B46" s="11">
        <v>28</v>
      </c>
      <c r="C46" s="11">
        <v>2350</v>
      </c>
      <c r="D46" s="29">
        <f t="shared" si="4"/>
        <v>-420</v>
      </c>
      <c r="E46" s="29">
        <f t="shared" si="1"/>
        <v>1930</v>
      </c>
      <c r="F46" s="21">
        <f t="shared" si="4"/>
        <v>0.44000000000000006</v>
      </c>
      <c r="G46" s="11">
        <f t="shared" si="2"/>
        <v>1034.0000000000002</v>
      </c>
    </row>
    <row r="47" spans="2:7" x14ac:dyDescent="0.2">
      <c r="B47" s="11">
        <v>29</v>
      </c>
      <c r="C47" s="11">
        <v>2400</v>
      </c>
      <c r="D47" s="29">
        <f t="shared" si="4"/>
        <v>-280</v>
      </c>
      <c r="E47" s="29">
        <f t="shared" si="1"/>
        <v>2120</v>
      </c>
      <c r="F47" s="21">
        <f t="shared" si="4"/>
        <v>0.72</v>
      </c>
      <c r="G47" s="11">
        <f t="shared" si="2"/>
        <v>1728</v>
      </c>
    </row>
    <row r="48" spans="2:7" x14ac:dyDescent="0.2">
      <c r="B48" s="11">
        <v>30</v>
      </c>
      <c r="C48" s="11">
        <v>2450</v>
      </c>
      <c r="D48" s="29">
        <f t="shared" si="4"/>
        <v>-140</v>
      </c>
      <c r="E48" s="29">
        <f t="shared" si="1"/>
        <v>2310</v>
      </c>
      <c r="F48" s="21">
        <f t="shared" si="4"/>
        <v>0.86</v>
      </c>
      <c r="G48" s="11">
        <f t="shared" si="2"/>
        <v>2107</v>
      </c>
    </row>
    <row r="49" spans="2:7" x14ac:dyDescent="0.2">
      <c r="B49" s="11">
        <v>31</v>
      </c>
      <c r="C49" s="11">
        <v>2500</v>
      </c>
      <c r="D49" s="29">
        <f t="shared" si="4"/>
        <v>140</v>
      </c>
      <c r="E49" s="29">
        <f t="shared" si="1"/>
        <v>2640</v>
      </c>
      <c r="F49" s="21">
        <f t="shared" si="4"/>
        <v>1.1399999999999999</v>
      </c>
      <c r="G49" s="11">
        <f t="shared" si="2"/>
        <v>2849.9999999999995</v>
      </c>
    </row>
    <row r="50" spans="2:7" x14ac:dyDescent="0.2">
      <c r="B50" s="11">
        <v>32</v>
      </c>
      <c r="C50" s="11">
        <v>2550</v>
      </c>
      <c r="D50" s="29">
        <f t="shared" si="4"/>
        <v>280</v>
      </c>
      <c r="E50" s="29">
        <f t="shared" si="1"/>
        <v>2830</v>
      </c>
      <c r="F50" s="21">
        <f t="shared" si="4"/>
        <v>1.28</v>
      </c>
      <c r="G50" s="11">
        <f t="shared" si="2"/>
        <v>3264</v>
      </c>
    </row>
    <row r="51" spans="2:7" x14ac:dyDescent="0.2">
      <c r="B51" s="11">
        <v>33</v>
      </c>
      <c r="C51" s="11">
        <v>2600</v>
      </c>
      <c r="D51" s="29">
        <f t="shared" si="4"/>
        <v>420</v>
      </c>
      <c r="E51" s="29">
        <f t="shared" si="1"/>
        <v>3020</v>
      </c>
      <c r="F51" s="21">
        <f t="shared" si="4"/>
        <v>1.56</v>
      </c>
      <c r="G51" s="11">
        <f t="shared" si="2"/>
        <v>4056</v>
      </c>
    </row>
    <row r="52" spans="2:7" x14ac:dyDescent="0.2">
      <c r="B52" s="11">
        <v>34</v>
      </c>
      <c r="C52" s="11">
        <v>2650</v>
      </c>
      <c r="D52" s="29">
        <f t="shared" si="4"/>
        <v>280</v>
      </c>
      <c r="E52" s="29">
        <f t="shared" si="1"/>
        <v>2930</v>
      </c>
      <c r="F52" s="21">
        <f t="shared" si="4"/>
        <v>1.28</v>
      </c>
      <c r="G52" s="11">
        <f t="shared" si="2"/>
        <v>3392</v>
      </c>
    </row>
    <row r="53" spans="2:7" x14ac:dyDescent="0.2">
      <c r="B53" s="11">
        <v>35</v>
      </c>
      <c r="C53" s="11">
        <v>2700</v>
      </c>
      <c r="D53" s="29">
        <f t="shared" si="4"/>
        <v>140</v>
      </c>
      <c r="E53" s="29">
        <f t="shared" si="1"/>
        <v>2840</v>
      </c>
      <c r="F53" s="21">
        <f t="shared" si="4"/>
        <v>1.1399999999999999</v>
      </c>
      <c r="G53" s="11">
        <f t="shared" si="2"/>
        <v>3077.9999999999995</v>
      </c>
    </row>
    <row r="54" spans="2:7" x14ac:dyDescent="0.2">
      <c r="B54" s="11">
        <v>36</v>
      </c>
      <c r="C54" s="11">
        <v>2750</v>
      </c>
      <c r="D54" s="29">
        <f t="shared" si="4"/>
        <v>70</v>
      </c>
      <c r="E54" s="29">
        <f t="shared" si="1"/>
        <v>2820</v>
      </c>
      <c r="F54" s="21">
        <f t="shared" si="4"/>
        <v>1.07</v>
      </c>
      <c r="G54" s="11">
        <f t="shared" si="2"/>
        <v>2942.5</v>
      </c>
    </row>
    <row r="55" spans="2:7" x14ac:dyDescent="0.2">
      <c r="B55" s="11">
        <v>37</v>
      </c>
      <c r="C55" s="11">
        <v>2800</v>
      </c>
      <c r="D55" s="29">
        <f>D5</f>
        <v>-70</v>
      </c>
      <c r="E55" s="29">
        <f t="shared" si="1"/>
        <v>2730</v>
      </c>
      <c r="F55" s="21">
        <f>F5</f>
        <v>0.93</v>
      </c>
      <c r="G55" s="11">
        <f t="shared" si="2"/>
        <v>2604</v>
      </c>
    </row>
    <row r="56" spans="2:7" x14ac:dyDescent="0.2">
      <c r="B56" s="11">
        <v>38</v>
      </c>
      <c r="C56" s="11">
        <v>2850</v>
      </c>
      <c r="D56" s="29">
        <f t="shared" ref="D56:F66" si="5">D6</f>
        <v>-140</v>
      </c>
      <c r="E56" s="29">
        <f t="shared" si="1"/>
        <v>2710</v>
      </c>
      <c r="F56" s="21">
        <f t="shared" si="5"/>
        <v>0.86</v>
      </c>
      <c r="G56" s="11">
        <f t="shared" si="2"/>
        <v>2451</v>
      </c>
    </row>
    <row r="57" spans="2:7" x14ac:dyDescent="0.2">
      <c r="B57" s="11">
        <v>39</v>
      </c>
      <c r="C57" s="11">
        <v>2900</v>
      </c>
      <c r="D57" s="29">
        <f t="shared" si="5"/>
        <v>-280</v>
      </c>
      <c r="E57" s="29">
        <f t="shared" si="1"/>
        <v>2620</v>
      </c>
      <c r="F57" s="21">
        <f t="shared" si="5"/>
        <v>0.72</v>
      </c>
      <c r="G57" s="11">
        <f t="shared" si="2"/>
        <v>2088</v>
      </c>
    </row>
    <row r="58" spans="2:7" x14ac:dyDescent="0.2">
      <c r="B58" s="11">
        <v>40</v>
      </c>
      <c r="C58" s="11">
        <v>2950</v>
      </c>
      <c r="D58" s="29">
        <f t="shared" si="5"/>
        <v>-420</v>
      </c>
      <c r="E58" s="29">
        <f t="shared" si="1"/>
        <v>2530</v>
      </c>
      <c r="F58" s="21">
        <f t="shared" si="5"/>
        <v>0.44000000000000006</v>
      </c>
      <c r="G58" s="11">
        <f t="shared" si="2"/>
        <v>1298.0000000000002</v>
      </c>
    </row>
    <row r="59" spans="2:7" x14ac:dyDescent="0.2">
      <c r="B59" s="11">
        <v>41</v>
      </c>
      <c r="C59" s="11">
        <v>3000</v>
      </c>
      <c r="D59" s="29">
        <f t="shared" si="5"/>
        <v>-280</v>
      </c>
      <c r="E59" s="29">
        <f t="shared" si="1"/>
        <v>2720</v>
      </c>
      <c r="F59" s="21">
        <f t="shared" si="5"/>
        <v>0.72</v>
      </c>
      <c r="G59" s="11">
        <f t="shared" si="2"/>
        <v>2160</v>
      </c>
    </row>
    <row r="60" spans="2:7" x14ac:dyDescent="0.2">
      <c r="B60" s="11">
        <v>42</v>
      </c>
      <c r="C60" s="11">
        <v>3050</v>
      </c>
      <c r="D60" s="29">
        <f t="shared" si="5"/>
        <v>-140</v>
      </c>
      <c r="E60" s="29">
        <f t="shared" si="1"/>
        <v>2910</v>
      </c>
      <c r="F60" s="21">
        <f t="shared" si="5"/>
        <v>0.86</v>
      </c>
      <c r="G60" s="11">
        <f t="shared" si="2"/>
        <v>2623</v>
      </c>
    </row>
    <row r="61" spans="2:7" x14ac:dyDescent="0.2">
      <c r="B61" s="11">
        <v>43</v>
      </c>
      <c r="C61" s="11">
        <v>3100</v>
      </c>
      <c r="D61" s="29">
        <f t="shared" si="5"/>
        <v>140</v>
      </c>
      <c r="E61" s="29">
        <f t="shared" si="1"/>
        <v>3240</v>
      </c>
      <c r="F61" s="21">
        <f t="shared" si="5"/>
        <v>1.1399999999999999</v>
      </c>
      <c r="G61" s="11">
        <f t="shared" si="2"/>
        <v>3533.9999999999995</v>
      </c>
    </row>
    <row r="62" spans="2:7" x14ac:dyDescent="0.2">
      <c r="B62" s="11">
        <v>44</v>
      </c>
      <c r="C62" s="11">
        <v>3150</v>
      </c>
      <c r="D62" s="29">
        <f t="shared" si="5"/>
        <v>280</v>
      </c>
      <c r="E62" s="29">
        <f t="shared" si="1"/>
        <v>3430</v>
      </c>
      <c r="F62" s="21">
        <f t="shared" si="5"/>
        <v>1.28</v>
      </c>
      <c r="G62" s="11">
        <f t="shared" si="2"/>
        <v>4032</v>
      </c>
    </row>
    <row r="63" spans="2:7" x14ac:dyDescent="0.2">
      <c r="B63" s="11">
        <v>45</v>
      </c>
      <c r="C63" s="11">
        <v>3200</v>
      </c>
      <c r="D63" s="29">
        <f t="shared" si="5"/>
        <v>420</v>
      </c>
      <c r="E63" s="29">
        <f t="shared" si="1"/>
        <v>3620</v>
      </c>
      <c r="F63" s="21">
        <f t="shared" si="5"/>
        <v>1.56</v>
      </c>
      <c r="G63" s="11">
        <f t="shared" si="2"/>
        <v>4992</v>
      </c>
    </row>
    <row r="64" spans="2:7" x14ac:dyDescent="0.2">
      <c r="B64" s="11">
        <v>46</v>
      </c>
      <c r="C64" s="11">
        <v>3250</v>
      </c>
      <c r="D64" s="29">
        <f t="shared" si="5"/>
        <v>280</v>
      </c>
      <c r="E64" s="29">
        <f t="shared" si="1"/>
        <v>3530</v>
      </c>
      <c r="F64" s="21">
        <f t="shared" si="5"/>
        <v>1.28</v>
      </c>
      <c r="G64" s="11">
        <f t="shared" si="2"/>
        <v>4160</v>
      </c>
    </row>
    <row r="65" spans="2:7" x14ac:dyDescent="0.2">
      <c r="B65" s="11">
        <v>47</v>
      </c>
      <c r="C65" s="11">
        <v>3300</v>
      </c>
      <c r="D65" s="29">
        <f t="shared" si="5"/>
        <v>140</v>
      </c>
      <c r="E65" s="29">
        <f t="shared" si="1"/>
        <v>3440</v>
      </c>
      <c r="F65" s="21">
        <f t="shared" si="5"/>
        <v>1.1399999999999999</v>
      </c>
      <c r="G65" s="11">
        <f t="shared" si="2"/>
        <v>3761.9999999999995</v>
      </c>
    </row>
    <row r="66" spans="2:7" x14ac:dyDescent="0.2">
      <c r="B66" s="11">
        <v>48</v>
      </c>
      <c r="C66" s="11">
        <v>3350</v>
      </c>
      <c r="D66" s="29">
        <f t="shared" si="5"/>
        <v>70</v>
      </c>
      <c r="E66" s="29">
        <f t="shared" si="1"/>
        <v>3420</v>
      </c>
      <c r="F66" s="21">
        <f t="shared" si="5"/>
        <v>1.07</v>
      </c>
      <c r="G66" s="11">
        <f t="shared" si="2"/>
        <v>3584.5</v>
      </c>
    </row>
  </sheetData>
  <phoneticPr fontId="0" type="noConversion"/>
  <pageMargins left="0.75" right="0.75" top="1" bottom="1" header="0.5" footer="0.5"/>
  <pageSetup scale="76" orientation="portrait" r:id="rId1"/>
  <headerFooter alignWithMargins="0"/>
  <ignoredErrors>
    <ignoredError sqref="F8 F13"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097" r:id="rId4" name="Spinner 1">
              <controlPr defaultSize="0" autoPict="0">
                <anchor moveWithCells="1" sizeWithCells="1">
                  <from>
                    <xdr:col>4</xdr:col>
                    <xdr:colOff>200025</xdr:colOff>
                    <xdr:row>4</xdr:row>
                    <xdr:rowOff>47625</xdr:rowOff>
                  </from>
                  <to>
                    <xdr:col>4</xdr:col>
                    <xdr:colOff>428625</xdr:colOff>
                    <xdr:row>6</xdr:row>
                    <xdr:rowOff>123825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I14"/>
  <sheetViews>
    <sheetView showGridLines="0" workbookViewId="0"/>
  </sheetViews>
  <sheetFormatPr defaultRowHeight="12.75" x14ac:dyDescent="0.2"/>
  <cols>
    <col min="1" max="1" width="4.7109375" customWidth="1"/>
    <col min="3" max="3" width="5" customWidth="1"/>
    <col min="4" max="4" width="10" customWidth="1"/>
    <col min="5" max="5" width="13.140625" customWidth="1"/>
    <col min="6" max="6" width="11.85546875" customWidth="1"/>
    <col min="8" max="8" width="12.42578125" customWidth="1"/>
    <col min="9" max="9" width="12.5703125" customWidth="1"/>
  </cols>
  <sheetData>
    <row r="2" spans="1:9" x14ac:dyDescent="0.2">
      <c r="B2" s="60" t="s">
        <v>156</v>
      </c>
    </row>
    <row r="4" spans="1:9" x14ac:dyDescent="0.2">
      <c r="B4" s="70"/>
      <c r="C4" s="70"/>
      <c r="D4" s="70"/>
      <c r="E4" s="70"/>
      <c r="F4" s="70"/>
      <c r="H4" s="70"/>
      <c r="I4" s="70"/>
    </row>
    <row r="5" spans="1:9" ht="48.75" customHeight="1" x14ac:dyDescent="0.2">
      <c r="D5" s="62" t="s">
        <v>65</v>
      </c>
      <c r="E5" s="62" t="s">
        <v>66</v>
      </c>
      <c r="F5" s="62" t="s">
        <v>67</v>
      </c>
      <c r="I5" s="62" t="s">
        <v>68</v>
      </c>
    </row>
    <row r="6" spans="1:9" ht="16.5" thickBot="1" x14ac:dyDescent="0.35">
      <c r="B6" s="68"/>
      <c r="C6" s="68"/>
      <c r="D6" s="67"/>
      <c r="E6" s="68" t="s">
        <v>128</v>
      </c>
      <c r="F6" s="68"/>
      <c r="H6" s="68"/>
      <c r="I6" s="68"/>
    </row>
    <row r="7" spans="1:9" x14ac:dyDescent="0.2">
      <c r="A7" s="116">
        <v>1</v>
      </c>
      <c r="B7">
        <v>2011</v>
      </c>
      <c r="C7" s="63" t="s">
        <v>62</v>
      </c>
      <c r="D7" s="64">
        <v>300</v>
      </c>
      <c r="E7" s="2">
        <f>170+55*A7</f>
        <v>225</v>
      </c>
      <c r="F7" s="66">
        <f>D7/E7</f>
        <v>1.3333333333333333</v>
      </c>
      <c r="H7" s="71" t="s">
        <v>62</v>
      </c>
      <c r="I7" s="66">
        <f>AVERAGE(F7,F11)</f>
        <v>1.2509363295880149</v>
      </c>
    </row>
    <row r="8" spans="1:9" x14ac:dyDescent="0.2">
      <c r="A8" s="116">
        <v>2</v>
      </c>
      <c r="C8" s="63" t="s">
        <v>61</v>
      </c>
      <c r="D8" s="64">
        <v>200</v>
      </c>
      <c r="E8" s="2">
        <f t="shared" ref="E8:E14" si="0">170+55*A8</f>
        <v>280</v>
      </c>
      <c r="F8" s="72">
        <f t="shared" ref="F8:F14" si="1">D8/E8</f>
        <v>0.7142857142857143</v>
      </c>
      <c r="H8" s="71" t="s">
        <v>61</v>
      </c>
      <c r="I8" s="72">
        <f>AVERAGE(F8,F12)</f>
        <v>0.77714285714285714</v>
      </c>
    </row>
    <row r="9" spans="1:9" x14ac:dyDescent="0.2">
      <c r="A9" s="116">
        <v>3</v>
      </c>
      <c r="C9" s="63" t="s">
        <v>63</v>
      </c>
      <c r="D9" s="64">
        <v>220</v>
      </c>
      <c r="E9" s="2">
        <f t="shared" si="0"/>
        <v>335</v>
      </c>
      <c r="F9" s="73">
        <f t="shared" si="1"/>
        <v>0.65671641791044777</v>
      </c>
      <c r="H9" s="71" t="s">
        <v>63</v>
      </c>
      <c r="I9" s="73">
        <f>AVERAGE(F9,F13)</f>
        <v>0.68871856931558417</v>
      </c>
    </row>
    <row r="10" spans="1:9" x14ac:dyDescent="0.2">
      <c r="A10" s="116">
        <v>4</v>
      </c>
      <c r="C10" s="63" t="s">
        <v>64</v>
      </c>
      <c r="D10" s="64">
        <v>530</v>
      </c>
      <c r="E10" s="2">
        <f t="shared" si="0"/>
        <v>390</v>
      </c>
      <c r="F10" s="74">
        <f t="shared" si="1"/>
        <v>1.358974358974359</v>
      </c>
      <c r="H10" s="71" t="s">
        <v>64</v>
      </c>
      <c r="I10" s="74">
        <f>AVERAGE(F10,F14)</f>
        <v>1.2532576712904582</v>
      </c>
    </row>
    <row r="11" spans="1:9" x14ac:dyDescent="0.2">
      <c r="A11" s="116">
        <v>5</v>
      </c>
      <c r="B11">
        <v>2012</v>
      </c>
      <c r="C11" s="63" t="s">
        <v>62</v>
      </c>
      <c r="D11" s="64">
        <v>520</v>
      </c>
      <c r="E11" s="2">
        <f t="shared" si="0"/>
        <v>445</v>
      </c>
      <c r="F11" s="66">
        <f t="shared" si="1"/>
        <v>1.1685393258426966</v>
      </c>
    </row>
    <row r="12" spans="1:9" x14ac:dyDescent="0.2">
      <c r="A12" s="116">
        <v>6</v>
      </c>
      <c r="C12" s="63" t="s">
        <v>61</v>
      </c>
      <c r="D12" s="64">
        <v>420</v>
      </c>
      <c r="E12" s="2">
        <f t="shared" si="0"/>
        <v>500</v>
      </c>
      <c r="F12" s="72">
        <f t="shared" si="1"/>
        <v>0.84</v>
      </c>
    </row>
    <row r="13" spans="1:9" x14ac:dyDescent="0.2">
      <c r="A13" s="116">
        <v>7</v>
      </c>
      <c r="C13" s="63" t="s">
        <v>63</v>
      </c>
      <c r="D13" s="64">
        <v>400</v>
      </c>
      <c r="E13" s="2">
        <f t="shared" si="0"/>
        <v>555</v>
      </c>
      <c r="F13" s="73">
        <f t="shared" si="1"/>
        <v>0.72072072072072069</v>
      </c>
    </row>
    <row r="14" spans="1:9" ht="13.5" thickBot="1" x14ac:dyDescent="0.25">
      <c r="A14" s="116">
        <v>8</v>
      </c>
      <c r="B14" s="68"/>
      <c r="C14" s="68" t="s">
        <v>64</v>
      </c>
      <c r="D14" s="69">
        <v>700</v>
      </c>
      <c r="E14" s="69">
        <f t="shared" si="0"/>
        <v>610</v>
      </c>
      <c r="F14" s="75">
        <f t="shared" si="1"/>
        <v>1.1475409836065573</v>
      </c>
    </row>
  </sheetData>
  <phoneticPr fontId="12" type="noConversion"/>
  <pageMargins left="0.75" right="0.75" top="1" bottom="1" header="0.5" footer="0.5"/>
  <pageSetup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2:K25"/>
  <sheetViews>
    <sheetView showGridLines="0" workbookViewId="0"/>
  </sheetViews>
  <sheetFormatPr defaultRowHeight="12.75" x14ac:dyDescent="0.2"/>
  <cols>
    <col min="1" max="1" width="5.85546875" customWidth="1"/>
    <col min="3" max="3" width="7" customWidth="1"/>
    <col min="4" max="4" width="12" customWidth="1"/>
    <col min="5" max="6" width="12.85546875" customWidth="1"/>
    <col min="7" max="7" width="15.7109375" customWidth="1"/>
    <col min="8" max="8" width="11.28515625" customWidth="1"/>
    <col min="9" max="9" width="13.140625" customWidth="1"/>
    <col min="13" max="13" width="9.5703125" bestFit="1" customWidth="1"/>
  </cols>
  <sheetData>
    <row r="2" spans="2:11" x14ac:dyDescent="0.2">
      <c r="B2" s="60" t="s">
        <v>157</v>
      </c>
    </row>
    <row r="3" spans="2:11" x14ac:dyDescent="0.2">
      <c r="B3" s="60"/>
    </row>
    <row r="4" spans="2:11" x14ac:dyDescent="0.2">
      <c r="B4" s="70"/>
      <c r="C4" s="70"/>
      <c r="D4" s="70"/>
      <c r="E4" s="70"/>
      <c r="F4" s="70"/>
      <c r="G4" s="70"/>
      <c r="H4" s="70"/>
      <c r="I4" s="70"/>
    </row>
    <row r="5" spans="2:11" x14ac:dyDescent="0.2">
      <c r="B5" s="76" t="s">
        <v>22</v>
      </c>
      <c r="C5" s="76" t="s">
        <v>23</v>
      </c>
      <c r="D5" s="76" t="s">
        <v>24</v>
      </c>
      <c r="E5" s="76" t="s">
        <v>25</v>
      </c>
      <c r="F5" s="77" t="s">
        <v>26</v>
      </c>
      <c r="G5" s="77" t="s">
        <v>27</v>
      </c>
      <c r="H5" s="77" t="s">
        <v>74</v>
      </c>
      <c r="I5" s="77" t="s">
        <v>76</v>
      </c>
    </row>
    <row r="6" spans="2:11" ht="39.75" x14ac:dyDescent="0.3">
      <c r="D6" s="62" t="s">
        <v>65</v>
      </c>
      <c r="E6" s="62" t="s">
        <v>70</v>
      </c>
      <c r="F6" s="62" t="s">
        <v>71</v>
      </c>
      <c r="G6" s="62" t="s">
        <v>72</v>
      </c>
      <c r="H6" s="62" t="s">
        <v>130</v>
      </c>
      <c r="I6" s="62" t="s">
        <v>131</v>
      </c>
      <c r="K6" s="64"/>
    </row>
    <row r="7" spans="2:11" ht="26.25" thickBot="1" x14ac:dyDescent="0.25">
      <c r="B7" s="117" t="s">
        <v>129</v>
      </c>
      <c r="C7" s="69" t="s">
        <v>19</v>
      </c>
      <c r="D7" s="67" t="s">
        <v>69</v>
      </c>
      <c r="E7" s="68"/>
      <c r="F7" s="68"/>
      <c r="G7" s="78" t="s">
        <v>73</v>
      </c>
      <c r="H7" s="69" t="s">
        <v>75</v>
      </c>
      <c r="I7" s="67" t="s">
        <v>77</v>
      </c>
      <c r="K7" s="64"/>
    </row>
    <row r="8" spans="2:11" x14ac:dyDescent="0.2">
      <c r="B8">
        <v>1</v>
      </c>
      <c r="C8" s="64" t="s">
        <v>62</v>
      </c>
      <c r="D8" s="125">
        <v>600</v>
      </c>
      <c r="E8" s="82">
        <f>AVERAGE(D8,D12,D16)</f>
        <v>2266.6666666666665</v>
      </c>
      <c r="F8" s="66">
        <f>E8/AVERAGE($E$8:$E$11)</f>
        <v>0.81559220389805098</v>
      </c>
      <c r="G8" s="82">
        <f>D8/F8</f>
        <v>735.66176470588232</v>
      </c>
      <c r="H8" s="64">
        <f>B8^2</f>
        <v>1</v>
      </c>
      <c r="I8" s="82">
        <f>B8*G8</f>
        <v>735.66176470588232</v>
      </c>
      <c r="K8" s="64"/>
    </row>
    <row r="9" spans="2:11" x14ac:dyDescent="0.2">
      <c r="B9">
        <v>2</v>
      </c>
      <c r="C9" s="64" t="s">
        <v>61</v>
      </c>
      <c r="D9" s="125">
        <v>1550</v>
      </c>
      <c r="E9" s="82">
        <f>AVERAGE(D9,D13,D17)</f>
        <v>3050</v>
      </c>
      <c r="F9" s="66">
        <f>E9/AVERAGE($E$8:$E$11)</f>
        <v>1.0974512743628186</v>
      </c>
      <c r="G9" s="82">
        <f t="shared" ref="G9:G19" si="0">D9/F9</f>
        <v>1412.3633879781421</v>
      </c>
      <c r="H9" s="64">
        <f t="shared" ref="H9:H19" si="1">B9^2</f>
        <v>4</v>
      </c>
      <c r="I9" s="82">
        <f t="shared" ref="I9:I19" si="2">B9*G9</f>
        <v>2824.7267759562842</v>
      </c>
      <c r="K9" s="64"/>
    </row>
    <row r="10" spans="2:11" x14ac:dyDescent="0.2">
      <c r="B10">
        <v>3</v>
      </c>
      <c r="C10" s="64" t="s">
        <v>63</v>
      </c>
      <c r="D10" s="125">
        <v>1500</v>
      </c>
      <c r="E10" s="82">
        <f>AVERAGE(D10,D14,D18)</f>
        <v>2700</v>
      </c>
      <c r="F10" s="66">
        <f>E10/AVERAGE($E$8:$E$11)</f>
        <v>0.97151424287856081</v>
      </c>
      <c r="G10" s="82">
        <f t="shared" si="0"/>
        <v>1543.9814814814813</v>
      </c>
      <c r="H10" s="64">
        <f t="shared" si="1"/>
        <v>9</v>
      </c>
      <c r="I10" s="82">
        <f t="shared" si="2"/>
        <v>4631.9444444444434</v>
      </c>
    </row>
    <row r="11" spans="2:11" x14ac:dyDescent="0.2">
      <c r="B11">
        <v>4</v>
      </c>
      <c r="C11" s="64" t="s">
        <v>64</v>
      </c>
      <c r="D11" s="125">
        <v>1500</v>
      </c>
      <c r="E11" s="82">
        <f>AVERAGE(D11,D15,D19)</f>
        <v>3100</v>
      </c>
      <c r="F11" s="66">
        <f>E11/AVERAGE($E$8:$E$11)</f>
        <v>1.1154422788605698</v>
      </c>
      <c r="G11" s="82">
        <f t="shared" si="0"/>
        <v>1344.758064516129</v>
      </c>
      <c r="H11" s="64">
        <f t="shared" si="1"/>
        <v>16</v>
      </c>
      <c r="I11" s="82">
        <f t="shared" si="2"/>
        <v>5379.0322580645161</v>
      </c>
    </row>
    <row r="12" spans="2:11" x14ac:dyDescent="0.2">
      <c r="B12">
        <v>5</v>
      </c>
      <c r="C12" s="64" t="s">
        <v>62</v>
      </c>
      <c r="D12" s="125">
        <v>2400</v>
      </c>
      <c r="E12" s="2"/>
      <c r="F12" s="66">
        <f>F8</f>
        <v>0.81559220389805098</v>
      </c>
      <c r="G12" s="82">
        <f t="shared" si="0"/>
        <v>2942.6470588235293</v>
      </c>
      <c r="H12" s="64">
        <f t="shared" si="1"/>
        <v>25</v>
      </c>
      <c r="I12" s="82">
        <f t="shared" si="2"/>
        <v>14713.235294117647</v>
      </c>
    </row>
    <row r="13" spans="2:11" x14ac:dyDescent="0.2">
      <c r="B13">
        <v>6</v>
      </c>
      <c r="C13" s="64" t="s">
        <v>61</v>
      </c>
      <c r="D13" s="125">
        <v>3100</v>
      </c>
      <c r="E13" s="2"/>
      <c r="F13" s="66">
        <f t="shared" ref="F13:F19" si="3">F9</f>
        <v>1.0974512743628186</v>
      </c>
      <c r="G13" s="82">
        <f t="shared" si="0"/>
        <v>2824.7267759562842</v>
      </c>
      <c r="H13" s="64">
        <f t="shared" si="1"/>
        <v>36</v>
      </c>
      <c r="I13" s="82">
        <f t="shared" si="2"/>
        <v>16948.360655737706</v>
      </c>
    </row>
    <row r="14" spans="2:11" x14ac:dyDescent="0.2">
      <c r="B14">
        <v>7</v>
      </c>
      <c r="C14" s="64" t="s">
        <v>63</v>
      </c>
      <c r="D14" s="125">
        <v>2600</v>
      </c>
      <c r="E14" s="2"/>
      <c r="F14" s="66">
        <f t="shared" si="3"/>
        <v>0.97151424287856081</v>
      </c>
      <c r="G14" s="82">
        <f t="shared" si="0"/>
        <v>2676.2345679012342</v>
      </c>
      <c r="H14" s="64">
        <f t="shared" si="1"/>
        <v>49</v>
      </c>
      <c r="I14" s="82">
        <f t="shared" si="2"/>
        <v>18733.641975308637</v>
      </c>
    </row>
    <row r="15" spans="2:11" x14ac:dyDescent="0.2">
      <c r="B15">
        <v>8</v>
      </c>
      <c r="C15" s="64" t="s">
        <v>64</v>
      </c>
      <c r="D15" s="125">
        <v>2900</v>
      </c>
      <c r="E15" s="2"/>
      <c r="F15" s="66">
        <f t="shared" si="3"/>
        <v>1.1154422788605698</v>
      </c>
      <c r="G15" s="82">
        <f t="shared" si="0"/>
        <v>2599.8655913978491</v>
      </c>
      <c r="H15" s="64">
        <f t="shared" si="1"/>
        <v>64</v>
      </c>
      <c r="I15" s="82">
        <f t="shared" si="2"/>
        <v>20798.924731182793</v>
      </c>
    </row>
    <row r="16" spans="2:11" x14ac:dyDescent="0.2">
      <c r="B16">
        <v>9</v>
      </c>
      <c r="C16" s="64" t="s">
        <v>62</v>
      </c>
      <c r="D16" s="125">
        <v>3800</v>
      </c>
      <c r="E16" s="2"/>
      <c r="F16" s="66">
        <f>F12</f>
        <v>0.81559220389805098</v>
      </c>
      <c r="G16" s="82">
        <f t="shared" si="0"/>
        <v>4659.1911764705883</v>
      </c>
      <c r="H16" s="64">
        <f t="shared" si="1"/>
        <v>81</v>
      </c>
      <c r="I16" s="82">
        <f t="shared" si="2"/>
        <v>41932.720588235294</v>
      </c>
    </row>
    <row r="17" spans="1:9" x14ac:dyDescent="0.2">
      <c r="B17">
        <v>10</v>
      </c>
      <c r="C17" s="64" t="s">
        <v>61</v>
      </c>
      <c r="D17" s="125">
        <v>4500</v>
      </c>
      <c r="E17" s="2"/>
      <c r="F17" s="66">
        <f t="shared" si="3"/>
        <v>1.0974512743628186</v>
      </c>
      <c r="G17" s="82">
        <f t="shared" si="0"/>
        <v>4100.4098360655735</v>
      </c>
      <c r="H17" s="64">
        <f t="shared" si="1"/>
        <v>100</v>
      </c>
      <c r="I17" s="82">
        <f t="shared" si="2"/>
        <v>41004.098360655735</v>
      </c>
    </row>
    <row r="18" spans="1:9" x14ac:dyDescent="0.2">
      <c r="B18">
        <v>11</v>
      </c>
      <c r="C18" s="64" t="s">
        <v>63</v>
      </c>
      <c r="D18" s="125">
        <v>4000</v>
      </c>
      <c r="E18" s="2"/>
      <c r="F18" s="66">
        <f t="shared" si="3"/>
        <v>0.97151424287856081</v>
      </c>
      <c r="G18" s="82">
        <f t="shared" si="0"/>
        <v>4117.2839506172832</v>
      </c>
      <c r="H18" s="64">
        <f t="shared" si="1"/>
        <v>121</v>
      </c>
      <c r="I18" s="82">
        <f t="shared" si="2"/>
        <v>45290.123456790112</v>
      </c>
    </row>
    <row r="19" spans="1:9" x14ac:dyDescent="0.2">
      <c r="B19">
        <v>12</v>
      </c>
      <c r="C19" s="64" t="s">
        <v>64</v>
      </c>
      <c r="D19" s="125">
        <v>4900</v>
      </c>
      <c r="E19" s="2"/>
      <c r="F19" s="66">
        <f t="shared" si="3"/>
        <v>1.1154422788605698</v>
      </c>
      <c r="G19" s="82">
        <f t="shared" si="0"/>
        <v>4392.8763440860212</v>
      </c>
      <c r="H19" s="64">
        <f t="shared" si="1"/>
        <v>144</v>
      </c>
      <c r="I19" s="82">
        <f t="shared" si="2"/>
        <v>52714.516129032258</v>
      </c>
    </row>
    <row r="20" spans="1:9" x14ac:dyDescent="0.2">
      <c r="C20" s="63"/>
      <c r="D20" s="84"/>
      <c r="E20" s="2"/>
      <c r="F20" s="73"/>
      <c r="G20" s="85"/>
      <c r="I20" s="85"/>
    </row>
    <row r="21" spans="1:9" ht="13.5" thickBot="1" x14ac:dyDescent="0.25">
      <c r="A21" s="86" t="s">
        <v>146</v>
      </c>
      <c r="B21" s="68">
        <f>SUM(B8:B19)</f>
        <v>78</v>
      </c>
      <c r="C21" s="68"/>
      <c r="D21" s="83">
        <f>SUM(D8:D19)</f>
        <v>33350</v>
      </c>
      <c r="E21" s="69"/>
      <c r="F21" s="79">
        <f>SUM(F8:F19)</f>
        <v>12</v>
      </c>
      <c r="G21" s="81">
        <f>SUM(G8:G19)</f>
        <v>33350</v>
      </c>
      <c r="H21" s="80">
        <f>SUM(H8:H19)</f>
        <v>650</v>
      </c>
      <c r="I21" s="81">
        <f>SUM(I8:I19)</f>
        <v>265706.98643423134</v>
      </c>
    </row>
    <row r="24" spans="1:9" x14ac:dyDescent="0.2">
      <c r="E24" s="65"/>
      <c r="F24" s="65"/>
    </row>
    <row r="25" spans="1:9" x14ac:dyDescent="0.2">
      <c r="B25" s="19" t="s">
        <v>158</v>
      </c>
    </row>
  </sheetData>
  <phoneticPr fontId="0" type="noConversion"/>
  <pageMargins left="0.75" right="0.75" top="1" bottom="1" header="0.5" footer="0.5"/>
  <pageSetup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J18"/>
  <sheetViews>
    <sheetView showGridLines="0" workbookViewId="0"/>
  </sheetViews>
  <sheetFormatPr defaultColWidth="12.140625" defaultRowHeight="12.75" x14ac:dyDescent="0.2"/>
  <cols>
    <col min="1" max="1" width="5.7109375" style="10" customWidth="1"/>
    <col min="2" max="2" width="12.140625" style="10" customWidth="1"/>
    <col min="3" max="4" width="9.7109375" style="10" customWidth="1"/>
    <col min="5" max="5" width="9.85546875" style="10" customWidth="1"/>
    <col min="6" max="6" width="9.42578125" style="10" customWidth="1"/>
    <col min="7" max="7" width="10.7109375" style="10" customWidth="1"/>
    <col min="8" max="8" width="10.140625" style="10" customWidth="1"/>
    <col min="9" max="9" width="9.7109375" style="10" customWidth="1"/>
    <col min="10" max="10" width="10.5703125" style="10" customWidth="1"/>
    <col min="11" max="16384" width="12.140625" style="10"/>
  </cols>
  <sheetData>
    <row r="2" spans="2:10" x14ac:dyDescent="0.2">
      <c r="B2" s="19" t="s">
        <v>159</v>
      </c>
    </row>
    <row r="4" spans="2:10" ht="26.25" thickBot="1" x14ac:dyDescent="0.25">
      <c r="B4" s="4" t="s">
        <v>5</v>
      </c>
      <c r="C4" s="4" t="s">
        <v>6</v>
      </c>
      <c r="D4" s="4" t="s">
        <v>7</v>
      </c>
      <c r="E4" s="4" t="s">
        <v>12</v>
      </c>
      <c r="F4" s="4" t="s">
        <v>8</v>
      </c>
      <c r="G4" s="4" t="s">
        <v>9</v>
      </c>
      <c r="H4" s="4" t="s">
        <v>10</v>
      </c>
      <c r="I4" s="4" t="s">
        <v>138</v>
      </c>
      <c r="J4" s="4" t="s">
        <v>11</v>
      </c>
    </row>
    <row r="5" spans="2:10" x14ac:dyDescent="0.2">
      <c r="B5" s="11">
        <v>1</v>
      </c>
      <c r="C5" s="20">
        <v>1000</v>
      </c>
      <c r="D5" s="11">
        <v>950</v>
      </c>
      <c r="E5" s="20">
        <f t="shared" ref="E5:E10" si="0">D5-C5</f>
        <v>-50</v>
      </c>
      <c r="F5" s="20">
        <f>0+E5</f>
        <v>-50</v>
      </c>
      <c r="G5" s="11">
        <f t="shared" ref="G5:G10" si="1">ABS(E5)</f>
        <v>50</v>
      </c>
      <c r="H5" s="11">
        <f>G5</f>
        <v>50</v>
      </c>
      <c r="I5" s="18">
        <f t="shared" ref="I5:I10" si="2">H5/B5</f>
        <v>50</v>
      </c>
      <c r="J5" s="21">
        <f t="shared" ref="J5:J10" si="3">F5/I5</f>
        <v>-1</v>
      </c>
    </row>
    <row r="6" spans="2:10" x14ac:dyDescent="0.2">
      <c r="B6" s="11">
        <v>2</v>
      </c>
      <c r="C6" s="20">
        <v>1000</v>
      </c>
      <c r="D6" s="20">
        <v>1070</v>
      </c>
      <c r="E6" s="20">
        <f t="shared" si="0"/>
        <v>70</v>
      </c>
      <c r="F6" s="20">
        <f>E6+F5</f>
        <v>20</v>
      </c>
      <c r="G6" s="11">
        <f t="shared" si="1"/>
        <v>70</v>
      </c>
      <c r="H6" s="11">
        <f>G6+H5</f>
        <v>120</v>
      </c>
      <c r="I6" s="18">
        <f t="shared" si="2"/>
        <v>60</v>
      </c>
      <c r="J6" s="21">
        <f t="shared" si="3"/>
        <v>0.33333333333333331</v>
      </c>
    </row>
    <row r="7" spans="2:10" x14ac:dyDescent="0.2">
      <c r="B7" s="11">
        <v>3</v>
      </c>
      <c r="C7" s="20">
        <v>1000</v>
      </c>
      <c r="D7" s="20">
        <v>1100</v>
      </c>
      <c r="E7" s="20">
        <f t="shared" si="0"/>
        <v>100</v>
      </c>
      <c r="F7" s="20">
        <f>E7+F6</f>
        <v>120</v>
      </c>
      <c r="G7" s="11">
        <f t="shared" si="1"/>
        <v>100</v>
      </c>
      <c r="H7" s="11">
        <f>G7+H6</f>
        <v>220</v>
      </c>
      <c r="I7" s="18">
        <f t="shared" si="2"/>
        <v>73.333333333333329</v>
      </c>
      <c r="J7" s="21">
        <f t="shared" si="3"/>
        <v>1.6363636363636365</v>
      </c>
    </row>
    <row r="8" spans="2:10" x14ac:dyDescent="0.2">
      <c r="B8" s="11">
        <v>4</v>
      </c>
      <c r="C8" s="20">
        <v>1000</v>
      </c>
      <c r="D8" s="20">
        <v>960</v>
      </c>
      <c r="E8" s="20">
        <f t="shared" si="0"/>
        <v>-40</v>
      </c>
      <c r="F8" s="20">
        <f>E8+F7</f>
        <v>80</v>
      </c>
      <c r="G8" s="11">
        <f t="shared" si="1"/>
        <v>40</v>
      </c>
      <c r="H8" s="11">
        <f>G8+H7</f>
        <v>260</v>
      </c>
      <c r="I8" s="18">
        <f t="shared" si="2"/>
        <v>65</v>
      </c>
      <c r="J8" s="18">
        <f t="shared" si="3"/>
        <v>1.2307692307692308</v>
      </c>
    </row>
    <row r="9" spans="2:10" x14ac:dyDescent="0.2">
      <c r="B9" s="11">
        <v>5</v>
      </c>
      <c r="C9" s="20">
        <v>1000</v>
      </c>
      <c r="D9" s="20">
        <v>1090</v>
      </c>
      <c r="E9" s="20">
        <f t="shared" si="0"/>
        <v>90</v>
      </c>
      <c r="F9" s="20">
        <f>E9+F8</f>
        <v>170</v>
      </c>
      <c r="G9" s="11">
        <f t="shared" si="1"/>
        <v>90</v>
      </c>
      <c r="H9" s="11">
        <f>G9+H8</f>
        <v>350</v>
      </c>
      <c r="I9" s="18">
        <f t="shared" si="2"/>
        <v>70</v>
      </c>
      <c r="J9" s="18">
        <f t="shared" si="3"/>
        <v>2.4285714285714284</v>
      </c>
    </row>
    <row r="10" spans="2:10" ht="13.5" thickBot="1" x14ac:dyDescent="0.25">
      <c r="B10" s="22">
        <v>6</v>
      </c>
      <c r="C10" s="23">
        <v>1000</v>
      </c>
      <c r="D10" s="23">
        <v>1050</v>
      </c>
      <c r="E10" s="23">
        <f t="shared" si="0"/>
        <v>50</v>
      </c>
      <c r="F10" s="23">
        <f>E10+F9</f>
        <v>220</v>
      </c>
      <c r="G10" s="22">
        <f t="shared" si="1"/>
        <v>50</v>
      </c>
      <c r="H10" s="22">
        <f>G10+H9</f>
        <v>400</v>
      </c>
      <c r="I10" s="24">
        <f t="shared" si="2"/>
        <v>66.666666666666671</v>
      </c>
      <c r="J10" s="24">
        <f t="shared" si="3"/>
        <v>3.3</v>
      </c>
    </row>
    <row r="11" spans="2:10" x14ac:dyDescent="0.2">
      <c r="C11" s="113" t="s">
        <v>139</v>
      </c>
      <c r="D11" s="119">
        <f>AVERAGE(D5:D10)</f>
        <v>1036.6666666666667</v>
      </c>
      <c r="E11" s="20"/>
      <c r="F11" s="20"/>
      <c r="G11" s="20"/>
      <c r="H11" s="20"/>
      <c r="I11" s="20"/>
      <c r="J11" s="20"/>
    </row>
    <row r="12" spans="2:10" x14ac:dyDescent="0.2">
      <c r="C12" s="113"/>
      <c r="D12" s="119"/>
      <c r="E12" s="25">
        <f>H10/6</f>
        <v>66.666666666666671</v>
      </c>
      <c r="F12" s="12" t="s">
        <v>136</v>
      </c>
      <c r="I12" s="20"/>
      <c r="J12" s="20"/>
    </row>
    <row r="13" spans="2:10" x14ac:dyDescent="0.2">
      <c r="E13" s="120">
        <f>E12/D11</f>
        <v>6.4308681672025719E-2</v>
      </c>
      <c r="F13" s="12" t="s">
        <v>140</v>
      </c>
    </row>
    <row r="14" spans="2:10" x14ac:dyDescent="0.2">
      <c r="E14" s="8">
        <f>F10/E12</f>
        <v>3.3</v>
      </c>
      <c r="F14" s="12" t="s">
        <v>137</v>
      </c>
    </row>
    <row r="17" spans="4:6" x14ac:dyDescent="0.2">
      <c r="D17" s="10">
        <v>0</v>
      </c>
      <c r="E17" s="27" t="e">
        <f>#REF!</f>
        <v>#REF!</v>
      </c>
      <c r="F17" s="27" t="e">
        <f>#REF!</f>
        <v>#REF!</v>
      </c>
    </row>
    <row r="18" spans="4:6" x14ac:dyDescent="0.2">
      <c r="D18" s="10">
        <v>7</v>
      </c>
      <c r="E18" s="27" t="e">
        <f>#REF!</f>
        <v>#REF!</v>
      </c>
      <c r="F18" s="27" t="e">
        <f>#REF!</f>
        <v>#REF!</v>
      </c>
    </row>
  </sheetData>
  <phoneticPr fontId="0" type="noConversion"/>
  <printOptions horizontalCentered="1"/>
  <pageMargins left="0.75" right="0.75" top="1" bottom="1" header="0.5" footer="0.5"/>
  <pageSetup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1"/>
  <sheetViews>
    <sheetView showGridLines="0" workbookViewId="0"/>
  </sheetViews>
  <sheetFormatPr defaultColWidth="12.140625" defaultRowHeight="12.75" x14ac:dyDescent="0.2"/>
  <cols>
    <col min="1" max="1" width="5.7109375" style="10" customWidth="1"/>
    <col min="2" max="2" width="12.140625" style="10" customWidth="1"/>
    <col min="3" max="4" width="9.7109375" style="10" customWidth="1"/>
    <col min="5" max="5" width="9.85546875" style="10" customWidth="1"/>
    <col min="6" max="6" width="9.42578125" style="10" customWidth="1"/>
    <col min="7" max="7" width="10.7109375" style="10" customWidth="1"/>
    <col min="8" max="8" width="10.140625" style="10" customWidth="1"/>
    <col min="9" max="9" width="9.7109375" style="10" customWidth="1"/>
    <col min="10" max="10" width="10.5703125" style="10" customWidth="1"/>
    <col min="11" max="16384" width="12.140625" style="10"/>
  </cols>
  <sheetData>
    <row r="2" spans="2:10" x14ac:dyDescent="0.2">
      <c r="B2" s="19" t="s">
        <v>159</v>
      </c>
    </row>
    <row r="4" spans="2:10" ht="26.25" thickBot="1" x14ac:dyDescent="0.25">
      <c r="B4" s="4" t="s">
        <v>5</v>
      </c>
      <c r="C4" s="4" t="s">
        <v>6</v>
      </c>
      <c r="D4" s="4" t="s">
        <v>7</v>
      </c>
      <c r="E4" s="4" t="s">
        <v>12</v>
      </c>
      <c r="F4" s="4" t="s">
        <v>8</v>
      </c>
      <c r="G4" s="4" t="s">
        <v>9</v>
      </c>
      <c r="H4" s="4" t="s">
        <v>10</v>
      </c>
      <c r="I4" s="4" t="s">
        <v>138</v>
      </c>
      <c r="J4" s="4" t="s">
        <v>11</v>
      </c>
    </row>
    <row r="5" spans="2:10" x14ac:dyDescent="0.2">
      <c r="B5" s="11">
        <v>1</v>
      </c>
      <c r="C5" s="20">
        <v>1000</v>
      </c>
      <c r="D5" s="11">
        <v>950</v>
      </c>
      <c r="E5" s="20">
        <f t="shared" ref="E5:E10" si="0">D5-C5</f>
        <v>-50</v>
      </c>
      <c r="F5" s="20">
        <f>0+E5</f>
        <v>-50</v>
      </c>
      <c r="G5" s="11">
        <f t="shared" ref="G5:G10" si="1">ABS(E5)</f>
        <v>50</v>
      </c>
      <c r="H5" s="11">
        <f>G5</f>
        <v>50</v>
      </c>
      <c r="I5" s="18">
        <f t="shared" ref="I5:I10" si="2">H5/B5</f>
        <v>50</v>
      </c>
      <c r="J5" s="21">
        <f t="shared" ref="J5:J10" si="3">F5/I5</f>
        <v>-1</v>
      </c>
    </row>
    <row r="6" spans="2:10" x14ac:dyDescent="0.2">
      <c r="B6" s="11">
        <v>2</v>
      </c>
      <c r="C6" s="20">
        <v>1000</v>
      </c>
      <c r="D6" s="20">
        <v>1070</v>
      </c>
      <c r="E6" s="20">
        <f t="shared" si="0"/>
        <v>70</v>
      </c>
      <c r="F6" s="20">
        <f>E6+F5</f>
        <v>20</v>
      </c>
      <c r="G6" s="11">
        <f t="shared" si="1"/>
        <v>70</v>
      </c>
      <c r="H6" s="11">
        <f>G6+H5</f>
        <v>120</v>
      </c>
      <c r="I6" s="18">
        <f t="shared" si="2"/>
        <v>60</v>
      </c>
      <c r="J6" s="21">
        <f t="shared" si="3"/>
        <v>0.33333333333333331</v>
      </c>
    </row>
    <row r="7" spans="2:10" x14ac:dyDescent="0.2">
      <c r="B7" s="11">
        <v>3</v>
      </c>
      <c r="C7" s="20">
        <v>1000</v>
      </c>
      <c r="D7" s="20">
        <v>1100</v>
      </c>
      <c r="E7" s="20">
        <f t="shared" si="0"/>
        <v>100</v>
      </c>
      <c r="F7" s="20">
        <f>E7+F6</f>
        <v>120</v>
      </c>
      <c r="G7" s="11">
        <f t="shared" si="1"/>
        <v>100</v>
      </c>
      <c r="H7" s="11">
        <f>G7+H6</f>
        <v>220</v>
      </c>
      <c r="I7" s="18">
        <f t="shared" si="2"/>
        <v>73.333333333333329</v>
      </c>
      <c r="J7" s="21">
        <f t="shared" si="3"/>
        <v>1.6363636363636365</v>
      </c>
    </row>
    <row r="8" spans="2:10" x14ac:dyDescent="0.2">
      <c r="B8" s="11">
        <v>4</v>
      </c>
      <c r="C8" s="20">
        <v>1000</v>
      </c>
      <c r="D8" s="20">
        <v>960</v>
      </c>
      <c r="E8" s="20">
        <f t="shared" si="0"/>
        <v>-40</v>
      </c>
      <c r="F8" s="20">
        <f>E8+F7</f>
        <v>80</v>
      </c>
      <c r="G8" s="11">
        <f t="shared" si="1"/>
        <v>40</v>
      </c>
      <c r="H8" s="11">
        <f>G8+H7</f>
        <v>260</v>
      </c>
      <c r="I8" s="18">
        <f t="shared" si="2"/>
        <v>65</v>
      </c>
      <c r="J8" s="18">
        <f t="shared" si="3"/>
        <v>1.2307692307692308</v>
      </c>
    </row>
    <row r="9" spans="2:10" x14ac:dyDescent="0.2">
      <c r="B9" s="11">
        <v>5</v>
      </c>
      <c r="C9" s="20">
        <v>1000</v>
      </c>
      <c r="D9" s="20">
        <v>1090</v>
      </c>
      <c r="E9" s="20">
        <f t="shared" si="0"/>
        <v>90</v>
      </c>
      <c r="F9" s="20">
        <f>E9+F8</f>
        <v>170</v>
      </c>
      <c r="G9" s="11">
        <f t="shared" si="1"/>
        <v>90</v>
      </c>
      <c r="H9" s="11">
        <f>G9+H8</f>
        <v>350</v>
      </c>
      <c r="I9" s="18">
        <f t="shared" si="2"/>
        <v>70</v>
      </c>
      <c r="J9" s="18">
        <f t="shared" si="3"/>
        <v>2.4285714285714284</v>
      </c>
    </row>
    <row r="10" spans="2:10" ht="13.5" thickBot="1" x14ac:dyDescent="0.25">
      <c r="B10" s="22">
        <v>6</v>
      </c>
      <c r="C10" s="23">
        <v>1000</v>
      </c>
      <c r="D10" s="23">
        <v>1050</v>
      </c>
      <c r="E10" s="23">
        <f t="shared" si="0"/>
        <v>50</v>
      </c>
      <c r="F10" s="23">
        <f>E10+F9</f>
        <v>220</v>
      </c>
      <c r="G10" s="22">
        <f t="shared" si="1"/>
        <v>50</v>
      </c>
      <c r="H10" s="22">
        <f>G10+H9</f>
        <v>400</v>
      </c>
      <c r="I10" s="24">
        <f t="shared" si="2"/>
        <v>66.666666666666671</v>
      </c>
      <c r="J10" s="24">
        <f t="shared" si="3"/>
        <v>3.3</v>
      </c>
    </row>
    <row r="11" spans="2:10" x14ac:dyDescent="0.2">
      <c r="C11" s="113" t="s">
        <v>139</v>
      </c>
      <c r="D11" s="119">
        <f>AVERAGE(D5:D10)</f>
        <v>1036.6666666666667</v>
      </c>
      <c r="E11" s="20"/>
      <c r="F11" s="20"/>
      <c r="G11" s="20"/>
      <c r="H11" s="20"/>
      <c r="I11" s="20"/>
      <c r="J11" s="20"/>
    </row>
    <row r="12" spans="2:10" x14ac:dyDescent="0.2">
      <c r="C12" s="113"/>
      <c r="D12" s="119"/>
      <c r="E12" s="25">
        <f>H10/6</f>
        <v>66.666666666666671</v>
      </c>
      <c r="F12" s="12" t="s">
        <v>136</v>
      </c>
      <c r="I12" s="20"/>
      <c r="J12" s="20"/>
    </row>
    <row r="13" spans="2:10" x14ac:dyDescent="0.2">
      <c r="E13" s="120">
        <f>E12/D11</f>
        <v>6.4308681672025719E-2</v>
      </c>
      <c r="F13" s="12" t="s">
        <v>140</v>
      </c>
    </row>
    <row r="14" spans="2:10" x14ac:dyDescent="0.2">
      <c r="E14" s="8">
        <f>F10/E12</f>
        <v>3.3</v>
      </c>
      <c r="F14" s="12" t="s">
        <v>137</v>
      </c>
    </row>
    <row r="16" spans="2:10" x14ac:dyDescent="0.2">
      <c r="E16" s="26">
        <v>2.3940000000000001</v>
      </c>
      <c r="F16" s="12" t="s">
        <v>13</v>
      </c>
    </row>
    <row r="17" spans="4:6" x14ac:dyDescent="0.2">
      <c r="E17" s="26">
        <v>-2.3940000000000001</v>
      </c>
      <c r="F17" s="12" t="s">
        <v>14</v>
      </c>
    </row>
    <row r="20" spans="4:6" x14ac:dyDescent="0.2">
      <c r="D20" s="10">
        <v>0</v>
      </c>
      <c r="E20" s="27">
        <f>E16</f>
        <v>2.3940000000000001</v>
      </c>
      <c r="F20" s="27">
        <f>E17</f>
        <v>-2.3940000000000001</v>
      </c>
    </row>
    <row r="21" spans="4:6" x14ac:dyDescent="0.2">
      <c r="D21" s="10">
        <v>7</v>
      </c>
      <c r="E21" s="27">
        <f>E16</f>
        <v>2.3940000000000001</v>
      </c>
      <c r="F21" s="27">
        <f>E17</f>
        <v>-2.3940000000000001</v>
      </c>
    </row>
  </sheetData>
  <printOptions horizontalCentered="1"/>
  <pageMargins left="0.75" right="0.75" top="1" bottom="1" header="0.5" footer="0.5"/>
  <pageSetup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2:N33"/>
  <sheetViews>
    <sheetView showGridLines="0" workbookViewId="0"/>
  </sheetViews>
  <sheetFormatPr defaultRowHeight="12.75" x14ac:dyDescent="0.2"/>
  <cols>
    <col min="1" max="1" width="5.5703125" customWidth="1"/>
    <col min="2" max="2" width="18.7109375" customWidth="1"/>
    <col min="3" max="4" width="15.28515625" customWidth="1"/>
    <col min="5" max="5" width="21" customWidth="1"/>
    <col min="6" max="6" width="16.28515625" customWidth="1"/>
    <col min="7" max="7" width="14.5703125" customWidth="1"/>
    <col min="8" max="10" width="11.7109375" bestFit="1" customWidth="1"/>
    <col min="11" max="11" width="11.42578125" customWidth="1"/>
    <col min="12" max="12" width="10.28515625" customWidth="1"/>
    <col min="13" max="14" width="9.5703125" bestFit="1" customWidth="1"/>
  </cols>
  <sheetData>
    <row r="2" spans="2:9" x14ac:dyDescent="0.2">
      <c r="B2" s="19" t="s">
        <v>160</v>
      </c>
    </row>
    <row r="4" spans="2:9" ht="39" thickBot="1" x14ac:dyDescent="0.25">
      <c r="B4" s="1" t="s">
        <v>15</v>
      </c>
      <c r="C4" s="7" t="s">
        <v>16</v>
      </c>
      <c r="D4" s="7" t="s">
        <v>17</v>
      </c>
    </row>
    <row r="5" spans="2:9" x14ac:dyDescent="0.2">
      <c r="B5" s="2">
        <v>2002</v>
      </c>
      <c r="C5" s="2">
        <v>18</v>
      </c>
      <c r="D5" s="3">
        <v>13000</v>
      </c>
      <c r="F5" s="150" t="s">
        <v>151</v>
      </c>
      <c r="G5" s="151"/>
      <c r="H5" s="151"/>
      <c r="I5" s="151"/>
    </row>
    <row r="6" spans="2:9" x14ac:dyDescent="0.2">
      <c r="B6" s="2">
        <v>2003</v>
      </c>
      <c r="C6" s="2">
        <v>15</v>
      </c>
      <c r="D6" s="3">
        <v>12000</v>
      </c>
      <c r="F6" s="151"/>
      <c r="G6" s="151"/>
      <c r="H6" s="151"/>
      <c r="I6" s="151"/>
    </row>
    <row r="7" spans="2:9" x14ac:dyDescent="0.2">
      <c r="B7" s="2">
        <v>2004</v>
      </c>
      <c r="C7" s="2">
        <v>12</v>
      </c>
      <c r="D7" s="3">
        <v>11000</v>
      </c>
      <c r="F7" s="151"/>
      <c r="G7" s="151"/>
      <c r="H7" s="151"/>
      <c r="I7" s="151"/>
    </row>
    <row r="8" spans="2:9" x14ac:dyDescent="0.2">
      <c r="B8" s="2">
        <v>2005</v>
      </c>
      <c r="C8" s="2">
        <v>10</v>
      </c>
      <c r="D8" s="3">
        <v>10000</v>
      </c>
      <c r="F8" s="151"/>
      <c r="G8" s="151"/>
      <c r="H8" s="151"/>
      <c r="I8" s="151"/>
    </row>
    <row r="9" spans="2:9" x14ac:dyDescent="0.2">
      <c r="B9" s="2">
        <v>2006</v>
      </c>
      <c r="C9" s="2">
        <v>20</v>
      </c>
      <c r="D9" s="3">
        <v>14000</v>
      </c>
      <c r="F9" s="151"/>
      <c r="G9" s="151"/>
      <c r="H9" s="151"/>
      <c r="I9" s="151"/>
    </row>
    <row r="10" spans="2:9" x14ac:dyDescent="0.2">
      <c r="B10" s="2">
        <v>2007</v>
      </c>
      <c r="C10" s="2">
        <v>28</v>
      </c>
      <c r="D10" s="3">
        <v>16000</v>
      </c>
      <c r="F10" s="151"/>
      <c r="G10" s="151"/>
      <c r="H10" s="151"/>
      <c r="I10" s="151"/>
    </row>
    <row r="11" spans="2:9" x14ac:dyDescent="0.2">
      <c r="B11" s="114">
        <v>2008</v>
      </c>
      <c r="C11" s="2">
        <v>35</v>
      </c>
      <c r="D11" s="3">
        <v>19000</v>
      </c>
    </row>
    <row r="12" spans="2:9" x14ac:dyDescent="0.2">
      <c r="B12" s="2">
        <v>2009</v>
      </c>
      <c r="C12" s="2">
        <v>30</v>
      </c>
      <c r="D12" s="3">
        <v>17000</v>
      </c>
      <c r="F12" s="9"/>
      <c r="G12" s="9"/>
      <c r="H12" s="9"/>
      <c r="I12" s="9"/>
    </row>
    <row r="13" spans="2:9" ht="13.5" thickBot="1" x14ac:dyDescent="0.25">
      <c r="B13" s="69">
        <v>2010</v>
      </c>
      <c r="C13" s="5">
        <v>20</v>
      </c>
      <c r="D13" s="6">
        <v>13000</v>
      </c>
      <c r="F13" s="9"/>
      <c r="G13" s="9"/>
      <c r="H13" s="9"/>
      <c r="I13" s="9"/>
    </row>
    <row r="14" spans="2:9" x14ac:dyDescent="0.2">
      <c r="F14" s="9"/>
      <c r="G14" s="9"/>
      <c r="H14" s="9"/>
      <c r="I14" s="9"/>
    </row>
    <row r="15" spans="2:9" x14ac:dyDescent="0.2">
      <c r="F15" s="9"/>
      <c r="G15" s="9"/>
      <c r="H15" s="9"/>
      <c r="I15" s="9"/>
    </row>
    <row r="16" spans="2:9" x14ac:dyDescent="0.2">
      <c r="F16" t="s">
        <v>37</v>
      </c>
    </row>
    <row r="17" spans="6:14" ht="13.5" thickBot="1" x14ac:dyDescent="0.25"/>
    <row r="18" spans="6:14" x14ac:dyDescent="0.2">
      <c r="F18" s="17" t="s">
        <v>38</v>
      </c>
      <c r="G18" s="17"/>
    </row>
    <row r="19" spans="6:14" x14ac:dyDescent="0.2">
      <c r="F19" s="14" t="s">
        <v>39</v>
      </c>
      <c r="G19" s="14">
        <v>0.99438568241639291</v>
      </c>
    </row>
    <row r="20" spans="6:14" x14ac:dyDescent="0.2">
      <c r="F20" s="14" t="s">
        <v>40</v>
      </c>
      <c r="G20" s="14">
        <v>0.98880288539471539</v>
      </c>
    </row>
    <row r="21" spans="6:14" x14ac:dyDescent="0.2">
      <c r="F21" s="14" t="s">
        <v>41</v>
      </c>
      <c r="G21" s="14">
        <v>0.98720329759396042</v>
      </c>
    </row>
    <row r="22" spans="6:14" x14ac:dyDescent="0.2">
      <c r="F22" s="14" t="s">
        <v>42</v>
      </c>
      <c r="G22" s="14">
        <v>331.95455453153255</v>
      </c>
    </row>
    <row r="23" spans="6:14" ht="13.5" thickBot="1" x14ac:dyDescent="0.25">
      <c r="F23" s="15" t="s">
        <v>43</v>
      </c>
      <c r="G23" s="15">
        <v>9</v>
      </c>
    </row>
    <row r="25" spans="6:14" ht="13.5" thickBot="1" x14ac:dyDescent="0.25">
      <c r="F25" t="s">
        <v>44</v>
      </c>
    </row>
    <row r="26" spans="6:14" x14ac:dyDescent="0.2">
      <c r="F26" s="16"/>
      <c r="G26" s="16" t="s">
        <v>48</v>
      </c>
      <c r="H26" s="16" t="s">
        <v>49</v>
      </c>
      <c r="I26" s="16" t="s">
        <v>50</v>
      </c>
      <c r="J26" s="16" t="s">
        <v>18</v>
      </c>
      <c r="K26" s="16" t="s">
        <v>51</v>
      </c>
    </row>
    <row r="27" spans="6:14" x14ac:dyDescent="0.2">
      <c r="F27" s="14" t="s">
        <v>45</v>
      </c>
      <c r="G27" s="14">
        <v>1</v>
      </c>
      <c r="H27" s="14">
        <v>68117532.104969278</v>
      </c>
      <c r="I27" s="14">
        <v>68117532.104969278</v>
      </c>
      <c r="J27" s="14">
        <v>618.16105682229488</v>
      </c>
      <c r="K27" s="61">
        <v>4.3421371225048327E-8</v>
      </c>
    </row>
    <row r="28" spans="6:14" x14ac:dyDescent="0.2">
      <c r="F28" s="14" t="s">
        <v>46</v>
      </c>
      <c r="G28" s="14">
        <v>7</v>
      </c>
      <c r="H28" s="14">
        <v>771356.78391959751</v>
      </c>
      <c r="I28" s="14">
        <v>110193.82627422821</v>
      </c>
      <c r="J28" s="14"/>
      <c r="K28" s="14"/>
    </row>
    <row r="29" spans="6:14" ht="13.5" thickBot="1" x14ac:dyDescent="0.25">
      <c r="F29" s="15" t="s">
        <v>47</v>
      </c>
      <c r="G29" s="15">
        <v>8</v>
      </c>
      <c r="H29" s="15">
        <v>68888888.888888881</v>
      </c>
      <c r="I29" s="15"/>
      <c r="J29" s="15"/>
      <c r="K29" s="15"/>
    </row>
    <row r="30" spans="6:14" ht="13.5" thickBot="1" x14ac:dyDescent="0.25"/>
    <row r="31" spans="6:14" x14ac:dyDescent="0.2">
      <c r="F31" s="16"/>
      <c r="G31" s="16" t="s">
        <v>52</v>
      </c>
      <c r="H31" s="16" t="s">
        <v>42</v>
      </c>
      <c r="I31" s="16" t="s">
        <v>53</v>
      </c>
      <c r="J31" s="16" t="s">
        <v>54</v>
      </c>
      <c r="K31" s="16" t="s">
        <v>55</v>
      </c>
      <c r="L31" s="16" t="s">
        <v>56</v>
      </c>
      <c r="M31" s="16" t="s">
        <v>57</v>
      </c>
      <c r="N31" s="16" t="s">
        <v>58</v>
      </c>
    </row>
    <row r="32" spans="6:14" x14ac:dyDescent="0.2">
      <c r="F32" s="14" t="s">
        <v>20</v>
      </c>
      <c r="G32" s="87">
        <v>6698.4924623115494</v>
      </c>
      <c r="H32" s="88">
        <v>309.64791841030683</v>
      </c>
      <c r="I32" s="88">
        <v>21.632609373577452</v>
      </c>
      <c r="J32" s="88">
        <v>1.1374933294580723E-7</v>
      </c>
      <c r="K32" s="88">
        <v>5966.29200878754</v>
      </c>
      <c r="L32" s="88">
        <v>7430.6929158355588</v>
      </c>
      <c r="M32" s="88">
        <v>5966.29200878754</v>
      </c>
      <c r="N32" s="88">
        <v>7430.6929158355588</v>
      </c>
    </row>
    <row r="33" spans="6:14" ht="13.5" thickBot="1" x14ac:dyDescent="0.25">
      <c r="F33" s="15" t="s">
        <v>59</v>
      </c>
      <c r="G33" s="89">
        <v>344.22110552763854</v>
      </c>
      <c r="H33" s="90">
        <v>13.844799612769881</v>
      </c>
      <c r="I33" s="90">
        <v>24.862844906049993</v>
      </c>
      <c r="J33" s="90">
        <v>4.3421371225048036E-8</v>
      </c>
      <c r="K33" s="90">
        <v>311.48338002487372</v>
      </c>
      <c r="L33" s="90">
        <v>376.95883103040336</v>
      </c>
      <c r="M33" s="90">
        <v>311.48338002487372</v>
      </c>
      <c r="N33" s="90">
        <v>376.95883103040336</v>
      </c>
    </row>
  </sheetData>
  <mergeCells count="1">
    <mergeCell ref="F5:I10"/>
  </mergeCells>
  <phoneticPr fontId="0" type="noConversion"/>
  <printOptions horizontalCentered="1"/>
  <pageMargins left="0.75" right="0.75" top="1" bottom="1" header="0.5" footer="0.5"/>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Exhibit 18.4</vt:lpstr>
      <vt:lpstr>Example 18.6 - 18.7</vt:lpstr>
      <vt:lpstr>Exhibit 18.8</vt:lpstr>
      <vt:lpstr>Exhibit 18.9</vt:lpstr>
      <vt:lpstr>Exhibit 18.10</vt:lpstr>
      <vt:lpstr>Exhibits 18.11 - 18.12</vt:lpstr>
      <vt:lpstr>Exhibits 18.15</vt:lpstr>
      <vt:lpstr>Exhibits 18.15 alternative</vt:lpstr>
      <vt:lpstr>Exhibit 18.16</vt:lpstr>
      <vt:lpstr>Solved Problem 1</vt:lpstr>
      <vt:lpstr>Solved Problem 3</vt:lpstr>
      <vt:lpstr>Solved Problem 4</vt:lpstr>
    </vt:vector>
  </TitlesOfParts>
  <Company>Bowling Green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Operations Management, 10th Ed. - Chase, Aquilano &amp; Jacobs</dc:title>
  <dc:subject>Chapter 11 - Examples and Exhibits</dc:subject>
  <dc:creator>Daniel J. Bragg</dc:creator>
  <cp:lastModifiedBy>IT Operations</cp:lastModifiedBy>
  <cp:lastPrinted>2003-02-27T21:59:21Z</cp:lastPrinted>
  <dcterms:created xsi:type="dcterms:W3CDTF">2002-12-24T17:31:02Z</dcterms:created>
  <dcterms:modified xsi:type="dcterms:W3CDTF">2013-01-07T10:32:35Z</dcterms:modified>
</cp:coreProperties>
</file>